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filterPrivacy="1"/>
  <bookViews>
    <workbookView xWindow="-1365" yWindow="-75" windowWidth="15570" windowHeight="11175" tabRatio="736"/>
  </bookViews>
  <sheets>
    <sheet name="allg. Infos" sheetId="20" r:id="rId1"/>
    <sheet name="ITAR_K Gesamtansicht" sheetId="6" r:id="rId2"/>
    <sheet name="KTR-Ausweis Gesamtansicht" sheetId="7" r:id="rId3"/>
    <sheet name="Zusatzinfos" sheetId="9" r:id="rId4"/>
    <sheet name="Zusatzentgelt" sheetId="15" r:id="rId5"/>
    <sheet name="Unbewertetes Zusatzentgelt" sheetId="17" r:id="rId6"/>
    <sheet name="Unbewertete Fallpauschale" sheetId="18" r:id="rId7"/>
    <sheet name="Abgleich KHS" sheetId="21" r:id="rId8"/>
    <sheet name="Kontrollen" sheetId="16" r:id="rId9"/>
    <sheet name="Fragen" sheetId="19" r:id="rId10"/>
    <sheet name="Exemplar ITAR_K Krankenversich." sheetId="11" r:id="rId11"/>
    <sheet name="Ex. KTR-Ausweis Krankenversich." sheetId="12" r:id="rId12"/>
    <sheet name="Exemplar ITAR_K UVG" sheetId="13" r:id="rId13"/>
    <sheet name="Ex. KTR-Ausweis UVG" sheetId="14" r:id="rId14"/>
  </sheets>
  <definedNames>
    <definedName name="_xlnm._FilterDatabase" localSheetId="1" hidden="1">'ITAR_K Gesamtansicht'!$CH$51:$CV$60</definedName>
    <definedName name="ANK">'KTR-Ausweis Gesamtansicht'!$B$128:$B$129</definedName>
    <definedName name="_xlnm.Print_Area" localSheetId="7">'Abgleich KHS'!$A$1:$H$40</definedName>
    <definedName name="_xlnm.Print_Area" localSheetId="8">Kontrollen!$A$1:$I$212</definedName>
    <definedName name="_xlnm.Print_Area" localSheetId="2">'KTR-Ausweis Gesamtansicht'!$A$1:$CW$84</definedName>
    <definedName name="_xlnm.Print_Titles" localSheetId="1">'ITAR_K Gesamtansicht'!$A:$B,'ITAR_K Gesamtansicht'!$1:$7</definedName>
    <definedName name="_xlnm.Print_Titles" localSheetId="2">'KTR-Ausweis Gesamtansicht'!$A:$C</definedName>
  </definedNames>
  <calcPr calcId="145621"/>
</workbook>
</file>

<file path=xl/sharedStrings.xml><?xml version="1.0" encoding="utf-8"?>
<sst xmlns="http://schemas.openxmlformats.org/spreadsheetml/2006/main" count="3234" uniqueCount="2071">
  <si>
    <t>Total Aufwand
FiBu</t>
  </si>
  <si>
    <t>Neben-
Betriebe</t>
  </si>
  <si>
    <t>Beschreibung</t>
  </si>
  <si>
    <t>Aufwand gem. Jahresrechnung</t>
  </si>
  <si>
    <t>Tarmed</t>
  </si>
  <si>
    <t>Labors</t>
  </si>
  <si>
    <t>Summe</t>
  </si>
  <si>
    <t>Physiotherapie</t>
  </si>
  <si>
    <t>Ergotherapie</t>
  </si>
  <si>
    <t>Ernährungsberarung/Diabetes/Logopädie</t>
  </si>
  <si>
    <t>Zahnärztetarif SSO</t>
  </si>
  <si>
    <t>Tarif Ernähr/
Diab/Logo</t>
  </si>
  <si>
    <t>stationärer
Tarif ZMT</t>
  </si>
  <si>
    <t>Zytostatika - Herstellung</t>
  </si>
  <si>
    <t>Zinsaufwand</t>
  </si>
  <si>
    <t>a.o. Aufwand</t>
  </si>
  <si>
    <t>./. Erlöse 66/68 als Kostenminderung einbezogen</t>
  </si>
  <si>
    <t>Direkte Kosten</t>
  </si>
  <si>
    <t>Interne Leistungsverrechnung</t>
  </si>
  <si>
    <t>+ nicht sep. tarifierte Kosten, Anteil je Tarif</t>
  </si>
  <si>
    <t>Verteilung der kum. Abzüge auf die amb. Tarife</t>
  </si>
  <si>
    <t>Erlös</t>
  </si>
  <si>
    <t>Ärztliche Einzelleistungen</t>
  </si>
  <si>
    <t>Total Erlös</t>
  </si>
  <si>
    <t>Einzelkosten</t>
  </si>
  <si>
    <t>Bezugsgrösse</t>
  </si>
  <si>
    <t>Medizinischer Bedarf</t>
  </si>
  <si>
    <t>Faktura</t>
  </si>
  <si>
    <t>Übrige Einzelkosten</t>
  </si>
  <si>
    <t>Übrige patientenbezogene Fremdleistungen</t>
  </si>
  <si>
    <t>Übrige Auslagen für Patienten</t>
  </si>
  <si>
    <t>Total Einzelkosten</t>
  </si>
  <si>
    <t>Gemeinkosten</t>
  </si>
  <si>
    <t>Kostenstellen</t>
  </si>
  <si>
    <t>Patientenadministration</t>
  </si>
  <si>
    <t>OPS-Säle</t>
  </si>
  <si>
    <t>TP</t>
  </si>
  <si>
    <t>Notfall</t>
  </si>
  <si>
    <t>Logopädie</t>
  </si>
  <si>
    <t>Hotellerie-Zimmer</t>
  </si>
  <si>
    <t>Hotellerie-Küche</t>
  </si>
  <si>
    <t>Hotellerie-Service</t>
  </si>
  <si>
    <t>Übrige Leistungserbringer</t>
  </si>
  <si>
    <t>Total Kosten (Einzel- und Gemeinkosten)</t>
  </si>
  <si>
    <t>Arzthonorarkosten (sozialversicherungspflichtig)</t>
  </si>
  <si>
    <t>Arzthonorar, Belegärzte</t>
  </si>
  <si>
    <t>Arzthonorar, Spitalärzte</t>
  </si>
  <si>
    <t>CHF, gemäss Vertrag</t>
  </si>
  <si>
    <t>Patiententransporte durch Dritte</t>
  </si>
  <si>
    <t>administrativer Fall</t>
  </si>
  <si>
    <t>TP und Min.</t>
  </si>
  <si>
    <t>Anzahl Dialysen</t>
  </si>
  <si>
    <t>Ärzteschaften-Aktivitäten 1 bis 5</t>
  </si>
  <si>
    <t>Ärzteschaften-Aktivitäten 6</t>
  </si>
  <si>
    <t>Nichtärztliche Therapien und Beratungen</t>
  </si>
  <si>
    <t>Medizinische und therapeutische Diagnostik</t>
  </si>
  <si>
    <t>Pflege</t>
  </si>
  <si>
    <t>Min.</t>
  </si>
  <si>
    <t>PT und Mahlzeit</t>
  </si>
  <si>
    <t>PT</t>
  </si>
  <si>
    <t>Rettungs- bzw. Ambulanzdienst (nur Sekundärtransporte)</t>
  </si>
  <si>
    <t>CHF-Betrag</t>
  </si>
  <si>
    <t>Erlös aus medizinischen, pflegerischen und therapeutischen Leistungen</t>
  </si>
  <si>
    <t>Übrige Erlöse aus Leistungen an Patienten</t>
  </si>
  <si>
    <t>Finanzerlös</t>
  </si>
  <si>
    <t>Erlös aus Leistungen an Personal und Dritte</t>
  </si>
  <si>
    <t xml:space="preserve">Kalk. EP </t>
  </si>
  <si>
    <t>kein sep. Tarif</t>
  </si>
  <si>
    <t>Material, Medikamente, Blut</t>
  </si>
  <si>
    <t>Kontrolltotale</t>
  </si>
  <si>
    <t>Ergebnis (+ = Gewinn / - = Verlust)</t>
  </si>
  <si>
    <t>Pflegetag  gewichtet</t>
  </si>
  <si>
    <t>30 - 39</t>
  </si>
  <si>
    <t xml:space="preserve">41 - 49 </t>
  </si>
  <si>
    <t>66/68</t>
  </si>
  <si>
    <t>ILV</t>
  </si>
  <si>
    <t>Koa-Gr.</t>
  </si>
  <si>
    <t>Dialyse (CHF)</t>
  </si>
  <si>
    <t>Weitere, betriebsindiv. amb. Tarife</t>
  </si>
  <si>
    <t>stat. Tarif KVG ZV</t>
  </si>
  <si>
    <t>stat. Tarif ZMT ZV</t>
  </si>
  <si>
    <t>Tageskliniken Psychiatrie</t>
  </si>
  <si>
    <t>NBK II</t>
  </si>
  <si>
    <t>sachl. 
Abgrenz.</t>
  </si>
  <si>
    <t>Total</t>
  </si>
  <si>
    <t>Modell Kostenträgerrechnung</t>
  </si>
  <si>
    <t>Kostenbasis = Kostenträgerrechnung nach REKOLE® zu Vollkosten</t>
  </si>
  <si>
    <t>Kostenträgerausweis nach REKOLE®</t>
  </si>
  <si>
    <t>Anzahl Taxpunkte nach Tarifwerk</t>
  </si>
  <si>
    <t>38/405</t>
  </si>
  <si>
    <t>übrige Aufträge an Dritte, inkl. GWL</t>
  </si>
  <si>
    <t>Nicht patientenbezogene Kosten (können ganze Kst sein)</t>
  </si>
  <si>
    <t>reine stat. KVG Fälle</t>
  </si>
  <si>
    <t>Nach einer Idee von Hans Isler</t>
  </si>
  <si>
    <t>Geschäftsjahr</t>
  </si>
  <si>
    <t>Grundversicherungsanteil an Zusatzversicherungshonoraren</t>
  </si>
  <si>
    <t>./. Erlöse Kt.gr. 65, exkl. Marge</t>
  </si>
  <si>
    <t>Marge</t>
  </si>
  <si>
    <t>Benchmarking-relevante Betriebskosten (BRB)</t>
  </si>
  <si>
    <t>Teuerungszuschlag Personalkosten</t>
  </si>
  <si>
    <t>Teuerungszuschlag Sachkosten</t>
  </si>
  <si>
    <t>Berechnungsparameter</t>
  </si>
  <si>
    <t>Zuschlag wegen neuen gesetzlichen Auflagen :</t>
  </si>
  <si>
    <t>Nationale Projektionsrechnung :</t>
  </si>
  <si>
    <t>Berechnungen je Leistungseinheit</t>
  </si>
  <si>
    <t>Nettobetriebskosten I (NBK I)</t>
  </si>
  <si>
    <t xml:space="preserve">./. Subsidiärer Abzug: Kosten für universitäre Lehre + Forschung </t>
  </si>
  <si>
    <t>./. Subsidiärer Abzug: Kosten für gemeinwirtschaftliche Leistungen</t>
  </si>
  <si>
    <t>weitere (z. B. SVK Vertrag)</t>
  </si>
  <si>
    <t>Personalaufwand exkl. Honorare</t>
  </si>
  <si>
    <t>Honorare (sozialversicherungspflichtig)</t>
  </si>
  <si>
    <t>Sachaufwand exkl. Anlagenutzungskosten</t>
  </si>
  <si>
    <t>./. Arzthonorare für zusatzversicherte Patienten</t>
  </si>
  <si>
    <t>Basiswert (Bezug: Fall, Tag,...) pro Tarifwerk</t>
  </si>
  <si>
    <r>
      <t xml:space="preserve">Benchmarking-relevanter Basiswert (Bezug: Fall, Tag,...)  </t>
    </r>
    <r>
      <rPr>
        <sz val="10"/>
        <rFont val="Arial"/>
        <family val="2"/>
      </rPr>
      <t>(Zusammenzug)</t>
    </r>
  </si>
  <si>
    <t>+/- spitalbezogene Projektionsrechnung</t>
  </si>
  <si>
    <t>+/- Zuschlag/Abschlag wegen neuen gesetzlichen Auflagen</t>
  </si>
  <si>
    <t>+Anteil Anlagenutzungskosten (ANK)</t>
  </si>
  <si>
    <t>Basisfallwerte je cw 1.0 bzw. Kosten je Leistungseinheit gesamt</t>
  </si>
  <si>
    <t>Summe der amb. Korrekturen exkl. ANK</t>
  </si>
  <si>
    <t>Anästhesie (inkl. Ärzteschaft)</t>
  </si>
  <si>
    <t>Intensivpflege und intermediate Care</t>
  </si>
  <si>
    <t>Bildgebende Verfahren  (inkl. Ärzteschaft)</t>
  </si>
  <si>
    <t>Gebärsaal</t>
  </si>
  <si>
    <t>Nuklearmedizin und Radioonkologie (inkl. Ärzteschaft)</t>
  </si>
  <si>
    <t>Labor (inkl. Ärzteschaft)</t>
  </si>
  <si>
    <t>Dialyse</t>
  </si>
  <si>
    <t>Pathologie (inkl. Ärzteschaft)</t>
  </si>
  <si>
    <t>Übrige Selbstzahler</t>
  </si>
  <si>
    <t>41 - Hotellerie Zimmer</t>
  </si>
  <si>
    <t>42 - Hotellerie Küche</t>
  </si>
  <si>
    <t>Kosten pro Pflegetag - Hotellerie Zimmer</t>
  </si>
  <si>
    <t>Kosten pro Pflegetag -Hotellerie Küche</t>
  </si>
  <si>
    <t>Kosten pro Pflegetag - Total Hotellerie</t>
  </si>
  <si>
    <t>Kostendiff. total (* Anzahl PT)</t>
  </si>
  <si>
    <t>Hotellerie Mehrkosten im Verhältnis zu den NBK II (in %)</t>
  </si>
  <si>
    <t>Art der Leistung (Bezeichnung)</t>
  </si>
  <si>
    <t>Spitalbezogene Projektionsrechnung</t>
  </si>
  <si>
    <t>Art der Projektion (Bezeichnung)</t>
  </si>
  <si>
    <t xml:space="preserve">Zuschlag wegen neuen gesetzlichen Auflagen </t>
  </si>
  <si>
    <t>Art der neuen gesetzlichen Auflage (Bezeichnung)</t>
  </si>
  <si>
    <t>Zuschlag für nicht berücksichtigte Zinsen auf dem Umlaufvermögen</t>
  </si>
  <si>
    <t>Total ILV (inkl. Anlagenutzung)</t>
  </si>
  <si>
    <t>Total Kosten (Einzel- und Gemeinkosten) ohne Anlagenutzung</t>
  </si>
  <si>
    <t>Name</t>
  </si>
  <si>
    <t>Tel.nr.</t>
  </si>
  <si>
    <t>Mail-Adresse</t>
  </si>
  <si>
    <t>Betrag CHF</t>
  </si>
  <si>
    <t xml:space="preserve">Allfällige Kommentare zur Abgrenzungsrechnung oder zum ITAR_K </t>
  </si>
  <si>
    <t>Kommentar, allenfalls mit Kontogruppe</t>
  </si>
  <si>
    <t>ev. Betrag</t>
  </si>
  <si>
    <t>Exemplar für Unfallversicherer</t>
  </si>
  <si>
    <t>Exemplar für Krankenversicherer</t>
  </si>
  <si>
    <t>+ Erlöse Kt.gr. 66 (sofern kostenmindernd in KST geführt)</t>
  </si>
  <si>
    <t>Kostendifferenz pro PT ALLG ggü VVG (MKZV Kostensatz)</t>
  </si>
  <si>
    <t>Betrag in CHF</t>
  </si>
  <si>
    <t>Index-veränderung</t>
  </si>
  <si>
    <t>Total 
stationär, SwissDRG relevant</t>
  </si>
  <si>
    <t>Anlagenutzungskosten (exkl. Inv. &lt; CHF 10'000)</t>
  </si>
  <si>
    <t>Weitere Mehrkosten entstehend aus Leistung zu Lasten der Zusatzversicherung</t>
  </si>
  <si>
    <t>Beiträge und Subventionen</t>
  </si>
  <si>
    <t>Abschlagsatz für Mehrkosten aus Leistungen für Zusatzversicherte</t>
  </si>
  <si>
    <t>x = ja, leer = nein</t>
  </si>
  <si>
    <t>./. Abzug für Mehrkosten aus Leistungen für zusatzversicherte Patienten</t>
  </si>
  <si>
    <t>Anteil Anlagenutzungskosten (in %)</t>
  </si>
  <si>
    <t>Art der Leistungen zu Lasten der Zusatzversicherung</t>
  </si>
  <si>
    <t>43 - Hotellerie Service</t>
  </si>
  <si>
    <t>Case Mix Index (bzw. durchschnittliche Verweildauer, wenn LE = Tag)</t>
  </si>
  <si>
    <t>Fremdleistungen</t>
  </si>
  <si>
    <t>DRG: Basisfallwert nach Benchmarking / Übrige: Kosten je Leistungseinheit</t>
  </si>
  <si>
    <t>stationärer Tarif KVG</t>
  </si>
  <si>
    <t xml:space="preserve"> ambulante
Behandlung
Total</t>
  </si>
  <si>
    <t>Total BEBU Zeitrechnung</t>
  </si>
  <si>
    <t>Bezeichnung</t>
  </si>
  <si>
    <t>Anzahl</t>
  </si>
  <si>
    <t>CHF</t>
  </si>
  <si>
    <t>Z39.95.21</t>
  </si>
  <si>
    <t>Hämodialyse: Intermittierend, Antikoagulation mit Heparin oder ohne Antikoagulation</t>
  </si>
  <si>
    <t>Z39.95.22</t>
  </si>
  <si>
    <t>Hämodialyse: Intermittierend, Antikoagulation mit sonstigen Substanzen</t>
  </si>
  <si>
    <t>Z39.95.23</t>
  </si>
  <si>
    <t>Hämodialyse: Verlängert intermittierend, Antikoagulation mit Heparin oder ohne Antikoagulation</t>
  </si>
  <si>
    <t>Z39.95.24</t>
  </si>
  <si>
    <t>Hämodialyse: Verlängert intermittierend, Antikoagulation mit sonstigen Substanzen</t>
  </si>
  <si>
    <t>Z39.95.B1</t>
  </si>
  <si>
    <t>Hämodiafiltration: Intermittierend, Antikoagulation mit Heparin oder ohne Antikoagulation</t>
  </si>
  <si>
    <t>Z39.95.B2</t>
  </si>
  <si>
    <t>Hämodiafiltration: Intermittierend, Antikoagulation mit sonstigen Substanzen</t>
  </si>
  <si>
    <t>Z39.95.B3</t>
  </si>
  <si>
    <t>Hämodiafiltration: Verlängert intermittierend, Antikoagulation mit Heparin oder ohne Antikoagulation</t>
  </si>
  <si>
    <t>Z39.95.B9</t>
  </si>
  <si>
    <t>Hämodiafiltration: Verlängert intermittierend, Antikoagulation mit sonstigen Substanzen</t>
  </si>
  <si>
    <t>Z39.95.61</t>
  </si>
  <si>
    <t>Hämofiltration: Intermittierend, Antikoagulation mit Heparin oder ohne Antikoagulation</t>
  </si>
  <si>
    <t>Z39.95.62</t>
  </si>
  <si>
    <t>Hämofiltration: Intermittierend, Antikoagulation mit sonstigen Substanzen</t>
  </si>
  <si>
    <t>Z39.95.63</t>
  </si>
  <si>
    <t>Hämofiltration: Verlängert intermittierend, Antikoagulation mit Heparin oder ohne Antikoagulation</t>
  </si>
  <si>
    <t>Z39.95.64</t>
  </si>
  <si>
    <t>Hämofiltration: Verlängert intermittierend, Antikoagulation mit sonstigen Substanzen</t>
  </si>
  <si>
    <t>Hämodialyse, Hämofiltration, Hämodiafiltration, kontinuierlich</t>
  </si>
  <si>
    <t>Z39.95.A1</t>
  </si>
  <si>
    <t>Hämofiltration: Kontinuierlich, arteriovenös (CAVH): Bis 24 Stunden</t>
  </si>
  <si>
    <t>Z39.95.71</t>
  </si>
  <si>
    <t>Hämofiltration: Kontinuierlich, venovenös, pumpengetrieben (CVVH), Antikoagulation mit Heparin oder ohne Antikoagulation: Bis 24 Stunden</t>
  </si>
  <si>
    <t>Z39.95.81</t>
  </si>
  <si>
    <t>Hämofiltration: Kontinuierlich, venovenös, pumpengetrieben (CVVH), Antikoagulation mit sonstigen Substanzen: Bis 24 Stunden</t>
  </si>
  <si>
    <t>Z39.95.31</t>
  </si>
  <si>
    <t>Hämodialyse: Kontinuierlich, venovenös, pumpengetrieben (CVVHD), Antikoagulation mit Heparin oder ohne Antikoagulation: Bis 24 Stunden</t>
  </si>
  <si>
    <t>Z39.95.41</t>
  </si>
  <si>
    <t>Hämodialyse: Kontinuierlich, venovenös, pumpengetrieben (CVVHD), Antikoagulation mit sonstigen Substanzen: Bis 24 Stunden</t>
  </si>
  <si>
    <t>Z39.95.E1</t>
  </si>
  <si>
    <t>Hämodiafiltration: Kontinuierlich, arteriovenös (CAVHDF): Bis 24 Stunden</t>
  </si>
  <si>
    <t>Z39.95.C1</t>
  </si>
  <si>
    <t>Hämodiafiltration: Kontinuierlich, venovenös, pumpengetrieben (CVVHDF), Antikoagulation mit Heparin oder ohne Antikoagulation: Bis 24 Stunden</t>
  </si>
  <si>
    <t>Z39.95.D1</t>
  </si>
  <si>
    <t>Hämodiafiltration: Kontinuierlich, venovenös, pumpengetrieben (CVVHDF), Antikoagulation mit sonstigen Substanzen: Bis 24 Stunden</t>
  </si>
  <si>
    <t>Hämodialyse, Hämofiltration, Hämodiafiltration, kontinuierlich, mehr als 24 bis 72 Stunden</t>
  </si>
  <si>
    <t>Z39.95.A2</t>
  </si>
  <si>
    <t>Hämofiltration: Kontinuierlich, arteriovenös (CAVH): Mehr als 24 bis 72 Stunden</t>
  </si>
  <si>
    <t>Z39.95.72</t>
  </si>
  <si>
    <t>Hämofiltration: Kontinuierlich, venovenös, pumpengetrieben (CVVH), Antikoagulation mit Heparin oder ohne Antikoagulation: Mehr als 24 bis 72 Stunden</t>
  </si>
  <si>
    <t>Z39.95.82</t>
  </si>
  <si>
    <t>Hämofiltration: Kontinuierlich, venovenös, pumpengetrieben (CVVH), Antikoagulation mit sonstigen Substanzen: Mehr als 24 bis 72 Stunden</t>
  </si>
  <si>
    <t>Z39.95.32</t>
  </si>
  <si>
    <t>Hämodialyse: Kontinuierlich, venovenös, pumpengetrieben (CVVHD), Antikoagulation mit Heparin oder ohne Antikoagulation: Mehr als 24 bis 72 Stunden</t>
  </si>
  <si>
    <t>Z39.95.42</t>
  </si>
  <si>
    <t>Hämodialyse: Kontinuierlich, venovenös, pumpengetrieben (CVVHD), Antikoagulation mit sonstigen Substanzen: Mehr als 24 bis 72 Stunden</t>
  </si>
  <si>
    <t>Z39.95.E2</t>
  </si>
  <si>
    <t>Hämodiafiltration: Kontinuierlich, arteriovenös (CAVHDF): Mehr als 24 bis 72 Stunden</t>
  </si>
  <si>
    <t>Z39.95.C2</t>
  </si>
  <si>
    <t>Hämodiafiltration: Kontinuierlich, venovenös, pumpengetrieben (CVVHDF), Antikoagulation mit Heparin oder ohne Antikoagulation: Mehr als 24 bis 72 Stunden</t>
  </si>
  <si>
    <t>Z39.95.D2</t>
  </si>
  <si>
    <t>Hämodiafiltration: Kontinuierlich, venovenös, pumpengetrieben (CVVHDF), Antikoagulation mit sonstigen Substanzen: Mehr als 24 bis 72 Stunden</t>
  </si>
  <si>
    <t>Hämodialyse, Hämofiltration, Hämodiafiltration, kontinuierlich, mehr als 72 bis 144 Stunden</t>
  </si>
  <si>
    <t>Z39.95.A3</t>
  </si>
  <si>
    <t>Hämofiltration: Kontinuierlich, arteriovenös (CAVH): Mehr als 72 bis 144 Stunden</t>
  </si>
  <si>
    <t>Z39.95.73</t>
  </si>
  <si>
    <t>Hämofiltration: Kontinuierlich, venovenös, pumpengetrieben (CVVH), Antikoagulation mit Heparin oder ohne Antikoagulation: Mehr als 72 bis 144 Stunden</t>
  </si>
  <si>
    <t>Z39.95.83</t>
  </si>
  <si>
    <t>Hämofiltration: Kontinuierlich, venovenös, pumpengetrieben (CVVH), Antikoagulation mit sonstigen Substanzen: Mehr als 72 bis 144 Stunden</t>
  </si>
  <si>
    <t>Z39.95.33</t>
  </si>
  <si>
    <t>Hämodialyse: Kontinuierlich, venovenös, pumpengetrieben (CVVHD), Antikoagulation mit Heparin oder ohne Antikoagulation: Mehr als 72 bis 144 Stunden</t>
  </si>
  <si>
    <t>Z39.95.43</t>
  </si>
  <si>
    <t>Hämodialyse: Kontinuierlich, venovenös, pumpengetrieben (CVVHD), Antikoagulation mit sonstigen Substanzen: Mehr als 72 bis 144 Stunden</t>
  </si>
  <si>
    <t>Z39.95.E3</t>
  </si>
  <si>
    <t>Hämodiafiltration: Kontinuierlich, arteriovenös (CAVHDF): Mehr als 72 bis 144 Stunden</t>
  </si>
  <si>
    <t>Z39.95.C3</t>
  </si>
  <si>
    <t>Hämodiafiltration: Kontinuierlich, venovenös, pumpengetrieben (CVVHDF), Antikoagulation mit Heparin oder ohne Antikoagulation: Mehr als 72 bis 144 Stunden</t>
  </si>
  <si>
    <t>Z39.95.D3</t>
  </si>
  <si>
    <t>Hämodiafiltration: Kontinuierlich, venovenös, pumpengetrieben (CVVHDF), Antikoagulation mit sonstigen Substanzen: Mehr als 72 bis 144 Stunden</t>
  </si>
  <si>
    <t>Hämodialyse, Hämofiltration, Hämodiafiltration, kontinuierlich, mehr als 144 bis 264 Stunden</t>
  </si>
  <si>
    <t>Z39.95.A4</t>
  </si>
  <si>
    <t>Hämofiltration: Kontinuierlich, arteriovenös (CAVH): Mehr als 144 bis 264 Stunden</t>
  </si>
  <si>
    <t>Z39.95.74</t>
  </si>
  <si>
    <t>Hämofiltration: Kontinuierlich, venovenös, pumpengetrieben (CVVH), Antikoagulation mit Heparin oder ohne Antikoagulation: Mehr als 144 bis 264 Stunden</t>
  </si>
  <si>
    <t>Z39.95.84</t>
  </si>
  <si>
    <t>Hämofiltration: Kontinuierlich, venovenös, pumpengetrieben (CVVH), Antikoagulation mit sonstigen Substanzen: Mehr als 144 bis 264 Stunden</t>
  </si>
  <si>
    <t>Z39.95.34</t>
  </si>
  <si>
    <t>Hämodialyse: Kontinuierlich, venovenös, pumpengetrieben (CVVHD), Antikoagulation mit Heparin oder ohne Antikoagulation: Mehr als 144 bis 264 Stunden</t>
  </si>
  <si>
    <t>Z39.95.44</t>
  </si>
  <si>
    <t>Hämodialyse: Kontinuierlich, venovenös, pumpengetrieben (CVVHD), Antikoagulation mit sonstigen Substanzen: Mehr als 144 bis 264 Stunden</t>
  </si>
  <si>
    <t>Z39.95.E4</t>
  </si>
  <si>
    <t>Hämodiafiltration: Kontinuierlich, arteriovenös (CAVHDF): Mehr als 144 bis 264 Stunden</t>
  </si>
  <si>
    <t>Z39.95.C4</t>
  </si>
  <si>
    <t>Hämodiafiltration: Kontinuierlich, venovenös, pumpengetrieben (CVVHDF), Antikoagulation mit Heparin oder ohne Antikoagulation: Mehr als 144 bis 264 Stunden</t>
  </si>
  <si>
    <t>Z39.95.D4</t>
  </si>
  <si>
    <t>Hämodiafiltration: Kontinuierlich, venovenös, pumpengetrieben (CVVHDF), Antikoagulation mit sonstigen Substanzen: Mehr als 144 bis 264 Stunden</t>
  </si>
  <si>
    <t>Hämodialyse, Hämofiltration, Hämodiafiltration, kontinuierlich, mehr als 264 bis 432 Stunden</t>
  </si>
  <si>
    <t>Z39.95.A5</t>
  </si>
  <si>
    <t>Hämofiltration: Kontinuierlich, arteriovenös (CAVH): Mehr als 264 bis 432 Stunden</t>
  </si>
  <si>
    <t>Z39.95.75</t>
  </si>
  <si>
    <t>Hämofiltration: Kontinuierlich, venovenös, pumpengetrieben (CVVH), Antikoagulation mit Heparin oder ohne Antikoagulation: Mehr als 264 bis 432 Stunden</t>
  </si>
  <si>
    <t>Z39.95.85</t>
  </si>
  <si>
    <t>Hämofiltration: Kontinuierlich, venovenös, pumpengetrieben (CVVH), Antikoagulation mit sonstigen Substanzen: Mehr als 264 bis 432 Stunden</t>
  </si>
  <si>
    <t>Z39.95.35</t>
  </si>
  <si>
    <t>Hämodialyse: Kontinuierlich, venovenös, pumpengetrieben (CVVHD), Antikoagulation mit Heparin oder ohne Antikoagulation: Mehr als 264 bis 432 Stunden</t>
  </si>
  <si>
    <t>Z39.95.45</t>
  </si>
  <si>
    <t>Hämodialyse: Kontinuierlich, venovenös, pumpengetrieben (CVVHD), Antikoagulation mit sonstigen Substanzen: Mehr als 264 bis 432 Stunden</t>
  </si>
  <si>
    <t>Z39.95.E5</t>
  </si>
  <si>
    <t>Hämodiafiltration: Kontinuierlich, arteriovenös (CAVHDF): Mehr als 264 bis 432 Stunden</t>
  </si>
  <si>
    <t>Z39.95.C5</t>
  </si>
  <si>
    <t>Hämodiafiltration: Kontinuierlich, venovenös, pumpengetrieben (CVVHDF), Antikoagulation mit Heparin oder ohne Antikoagulation: Mehr als 264 bis 432 Stunden</t>
  </si>
  <si>
    <t>Z39.95.D5</t>
  </si>
  <si>
    <t>Hämodiafiltration: Kontinuierlich, venovenös, pumpengetrieben (CVVHDF), Antikoagulation mit sonstigen Substanzen: Mehr als 264 bis 432 Stunden</t>
  </si>
  <si>
    <t>Z39.95.A9</t>
  </si>
  <si>
    <t>Hämofiltration: Kontinuierlich, arteriovenös (CAVH): Mehr Stunden</t>
  </si>
  <si>
    <t>Z39.95.79</t>
  </si>
  <si>
    <t>Hämofiltration: Kontinuierlich, venovenös, pumpengetrieben (CVVH), Antikoagulation mit Heparin oder ohne Antikoagulation: Mehr Stunden</t>
  </si>
  <si>
    <t>Z39.95.89</t>
  </si>
  <si>
    <t>Hämofiltration: Kontinuierlich, venovenös, pumpengetrieben (CVVH), Antikoagulation mit sonstigen Substanzen: Mehr Stunden</t>
  </si>
  <si>
    <t>Z39.95.39</t>
  </si>
  <si>
    <t>Hämodialyse: Kontinuierlich, venovenös, pumpengetrieben (CVVHD), Antikoagulation mit Heparin oder ohne Antikoagulation: Mehr Stunden</t>
  </si>
  <si>
    <t>Z39.95.49</t>
  </si>
  <si>
    <t>Hämodialyse: Kontinuierlich, venovenös, pumpengetrieben (CVVHD), Antikoagulation mit sonstigen Substanzen: Mehr Stunden</t>
  </si>
  <si>
    <t>Z39.95.E9</t>
  </si>
  <si>
    <t>Hämodiafiltration: Kontinuierlich, arteriovenös (CAVHDF): Mehr Stunden</t>
  </si>
  <si>
    <t>Z39.95.C9</t>
  </si>
  <si>
    <t>Hämodiafiltration: Kontinuierlich, venovenös, pumpengetrieben (CVVHDF), Antikoagulation mit Heparin oder ohne Antikoagulation: Mehr Stunden</t>
  </si>
  <si>
    <t>Z39.95.D9</t>
  </si>
  <si>
    <t>Hämodiafiltration: Kontinuierlich, venovenös, pumpengetrieben (CVVHDF), Antikoagulation mit sonstigen Substanzen: Mehr Stunden</t>
  </si>
  <si>
    <t>Peritonealdialyse, kontinuierlich</t>
  </si>
  <si>
    <t>Peritonealdialyse, kontinuierlich, bis 24 Stunden</t>
  </si>
  <si>
    <t>Z54.98.21</t>
  </si>
  <si>
    <t>Z54.98.31</t>
  </si>
  <si>
    <t>Peritonealdialyse, kontinuierlich, mehr als 24 bis 72 Stunden</t>
  </si>
  <si>
    <t>Z54.98.22</t>
  </si>
  <si>
    <t>Z54.98.32</t>
  </si>
  <si>
    <t>Peritonealdialyse, kontinuierlich, mehr als 72 bis 144 Stunden</t>
  </si>
  <si>
    <t>Z54.98.23</t>
  </si>
  <si>
    <t>Z54.98.33</t>
  </si>
  <si>
    <t>Peritonealdialyse, kontinuierlich, mehr als 144 bis 264 Stunden</t>
  </si>
  <si>
    <t>Z54.98.24</t>
  </si>
  <si>
    <t>Z54.98.34</t>
  </si>
  <si>
    <t>Peritonealdialyse, kontinuierlich, mehr als 264 bis 432 Stunden</t>
  </si>
  <si>
    <t>Z54.98.25</t>
  </si>
  <si>
    <t>Z54.98.35</t>
  </si>
  <si>
    <t>Peritonealdialyse, kontinuierlich, mehr als 432 Stunden</t>
  </si>
  <si>
    <t>Z54.98.29</t>
  </si>
  <si>
    <t>Peritonealdialyse: Kontinuierlich, nicht maschinell unterstützt (CAPD): Mehr Stunden</t>
  </si>
  <si>
    <t>Z54.98.39</t>
  </si>
  <si>
    <t>Peritonealdialyse: Kontinuierlich, maschinell unterstützt (APD), mit Zusatzgeräten: Mehr Stunden</t>
  </si>
  <si>
    <t>Z37.52</t>
  </si>
  <si>
    <t>Implantation eines kompletten Herzersatzsystems</t>
  </si>
  <si>
    <t>Z37.63.11</t>
  </si>
  <si>
    <t>Isolierter Pumpenwechsel (nicht offen chirurgisch) einer extrakorporalen Pumpe (z.B. Kreiselpumpe oder Zentrifugalpumpe), univentrikulär</t>
  </si>
  <si>
    <t>Z37.63.12</t>
  </si>
  <si>
    <t>Isolierter Pumpenwechsel (nicht offen chirurgisch) einer extrakorporalen Pumpe (z.B. Kreiselpumpe oder Zentrifugalpumpe), biventrikulär</t>
  </si>
  <si>
    <t>Z37.63.21</t>
  </si>
  <si>
    <t>Isolierter Pumpenwechsel (nicht offen chirurgisch) einer parakorporalen Pumpe, univentrikulär</t>
  </si>
  <si>
    <t>Z37.63.22</t>
  </si>
  <si>
    <t>Isolierter Pumpenwechsel (nicht offen chirurgisch) einer parakorporalen Pumpe, biventrikulär</t>
  </si>
  <si>
    <t>Z37.65.11</t>
  </si>
  <si>
    <t xml:space="preserve">Implantation (offen chirurgisch) einer extrakorporalen Pumpe (z.B. Kreiselpumpe oder Zentrifugalpumpe), univentrikulär </t>
  </si>
  <si>
    <t>Z37.65.12</t>
  </si>
  <si>
    <t>Implantation (offen chirurgisch) einer extrakorporalen Pumpe (z.B. Kreiselpumpe oder Zentrifugalpumpe), biventrikulär</t>
  </si>
  <si>
    <t>Z37.65.21</t>
  </si>
  <si>
    <t>Implantation (offen chirurgisch) einer parakorporalen Pumpe, univentrikulär</t>
  </si>
  <si>
    <t>Z37.65.22</t>
  </si>
  <si>
    <t xml:space="preserve">Implantation (offen chirurgisch) einer parakorporalen Pumpe, biventrikulär </t>
  </si>
  <si>
    <t>Z37.66.11</t>
  </si>
  <si>
    <t>Implantation (offen chirurgisch) einer intrakorporalen Pumpe, univentrikulär</t>
  </si>
  <si>
    <t>Z37.66.12</t>
  </si>
  <si>
    <t>Implantation (offen chirurgisch) einer intrakorporalen Pumpe, biventrikulär</t>
  </si>
  <si>
    <t xml:space="preserve">B02BD02     </t>
  </si>
  <si>
    <t>Faktor VIII rekombinant</t>
  </si>
  <si>
    <t>Faktor VIII plasmatisch</t>
  </si>
  <si>
    <t xml:space="preserve">B02BD03     </t>
  </si>
  <si>
    <t>Faktor VIII-Inhibitor Bypass Aktivität - FEIBA</t>
  </si>
  <si>
    <t>B02BD04    </t>
  </si>
  <si>
    <t>Faktor IX plasmatisch</t>
  </si>
  <si>
    <t xml:space="preserve">B02BD08     </t>
  </si>
  <si>
    <t>Eptacog alfa aktiviert (rekombinanter Gerinnungsfaktor VIIa)</t>
  </si>
  <si>
    <t xml:space="preserve">B02BD09     </t>
  </si>
  <si>
    <t>Nonacog alfa (rekombinanter Blutgerinnungsfaktor IX)</t>
  </si>
  <si>
    <r>
      <t>Hämodialyse, Hämofiltration, Hämodiafiltration, kontinuierlich, mehr als 432</t>
    </r>
    <r>
      <rPr>
        <b/>
        <sz val="9"/>
        <color indexed="10"/>
        <rFont val="Arial"/>
        <family val="2"/>
      </rPr>
      <t xml:space="preserve"> </t>
    </r>
    <r>
      <rPr>
        <b/>
        <sz val="9"/>
        <rFont val="Arial"/>
        <family val="2"/>
      </rPr>
      <t>Stunden</t>
    </r>
  </si>
  <si>
    <t>Anz TP VJ</t>
  </si>
  <si>
    <t>Veränderung TP</t>
  </si>
  <si>
    <t>in % von VJ</t>
  </si>
  <si>
    <t>Ertrag gem KTR-Ausweis</t>
  </si>
  <si>
    <t>Kostendeckungsgrad</t>
  </si>
  <si>
    <t>Anteil Anlagenutzung an Gesamtkosten</t>
  </si>
  <si>
    <t>Plausibilisierungen</t>
  </si>
  <si>
    <t>Veränderung Total Kosten VJ zu Total Kosten aktuelles Jahr in %</t>
  </si>
  <si>
    <t>reine stat. KVG Fälle
Erw. Psychi</t>
  </si>
  <si>
    <t>stat. Tarif KVG ZV
Erw. Psychi</t>
  </si>
  <si>
    <t>stationärer
Tarif ZMT
Erw. Psychi</t>
  </si>
  <si>
    <t>stat. Tarif ZMT ZV
Erw. Psychi</t>
  </si>
  <si>
    <t xml:space="preserve">übrige Selbstzahler
Erw. Psychi
</t>
  </si>
  <si>
    <t>Erwachsenen Psychiatrie stationär</t>
  </si>
  <si>
    <t>Kinder  Psychiatrie stationär</t>
  </si>
  <si>
    <t>reine stat. KVG Fälle
Kinder Psychi</t>
  </si>
  <si>
    <t>stat. Tarif KVG ZV
Kinder Psychi</t>
  </si>
  <si>
    <t>stationärer
Tarif ZMT
Kinder Psychi</t>
  </si>
  <si>
    <t>stat. Tarif ZMT ZV
Kinder Psychi</t>
  </si>
  <si>
    <t xml:space="preserve">übrige Selbstzahler
Kinder Psychi
</t>
  </si>
  <si>
    <t>Total 
Psychiatrie stationär</t>
  </si>
  <si>
    <t>weiterer stat. Psychitarif grundv.</t>
  </si>
  <si>
    <t>weiterer stat. Psychitarif ZV</t>
  </si>
  <si>
    <t>Geriatrische Rehab. 
ZMT ZV</t>
  </si>
  <si>
    <t xml:space="preserve">Geriatrische Rehab. 
ZV KVG </t>
  </si>
  <si>
    <t xml:space="preserve">Geriatrische Rehab. 
ZMT </t>
  </si>
  <si>
    <t xml:space="preserve">Neuro. Rehab. 
ZV KVG </t>
  </si>
  <si>
    <t>Neuro. Rehab. 
ZMT ZV</t>
  </si>
  <si>
    <t xml:space="preserve">Pulmonale Rehab. 
ZV KVG </t>
  </si>
  <si>
    <t>weiterer stat. Rehab. grundv.</t>
  </si>
  <si>
    <t>weiterer stat. Rehab. ZV</t>
  </si>
  <si>
    <t>Total Rehabilitation stationär</t>
  </si>
  <si>
    <t xml:space="preserve">Muskulosk. Rehab. 
ZV KVG </t>
  </si>
  <si>
    <t xml:space="preserve">Muskulosk. Rehab. 
ZMT </t>
  </si>
  <si>
    <t>Muskulosk. Rehab. 
ZMT ZV</t>
  </si>
  <si>
    <t>Erwachsenen Rehabilitation stationär</t>
  </si>
  <si>
    <t>Tagesklinik Alkohol-behandlung</t>
  </si>
  <si>
    <t>Tagesklinik Suchtbehandlung</t>
  </si>
  <si>
    <t>Akuttagesklinik Psychiatrie</t>
  </si>
  <si>
    <t>Nachtklinik Psychiatrie</t>
  </si>
  <si>
    <t>Tagskliniken Psychiatrie</t>
  </si>
  <si>
    <t>Tagesklinik Kinder-&amp; Jugendpsychiatrie</t>
  </si>
  <si>
    <t>Total 
Tageskliniken Psychiatrie</t>
  </si>
  <si>
    <t>weiterer stat. Rehab.</t>
  </si>
  <si>
    <t xml:space="preserve">weiterer stat. Psychitarif </t>
  </si>
  <si>
    <t>Akut</t>
  </si>
  <si>
    <t>Rehab.</t>
  </si>
  <si>
    <t>Psychi stat.</t>
  </si>
  <si>
    <t>Psychi TK</t>
  </si>
  <si>
    <t>Total akut
stationär, SwissDRG relevant</t>
  </si>
  <si>
    <t>Total Akut stationär</t>
  </si>
  <si>
    <t>Total Rehab. stationär</t>
  </si>
  <si>
    <t>Total Psychi. stationär</t>
  </si>
  <si>
    <t xml:space="preserve">Geriatrische Rehab. KVG </t>
  </si>
  <si>
    <t xml:space="preserve">Neuro. Rehab. 
ZMT </t>
  </si>
  <si>
    <t xml:space="preserve">weiterer stat. Rehab. </t>
  </si>
  <si>
    <t>stat. Tarif KVG 
Erw. Psychi</t>
  </si>
  <si>
    <t>stat. Tarif ZMT
Erw. Psychi</t>
  </si>
  <si>
    <t>stat. Tarif KVG
Kinder Psychi</t>
  </si>
  <si>
    <t>stat. Tarif ZMT
Kinder Psychi</t>
  </si>
  <si>
    <t>weiterer stat. Psychitarif</t>
  </si>
  <si>
    <t>Tagesklinik Psycho-geriatrie</t>
  </si>
  <si>
    <t>Tagesklinik Sucht-behandlung</t>
  </si>
  <si>
    <t>Akut-tagesklinik Psychiatrie</t>
  </si>
  <si>
    <t>Tagesklinik Kinder-&amp; Jugend-psychiatrie</t>
  </si>
  <si>
    <t>Generelle Fragen</t>
  </si>
  <si>
    <t>Liegt der ambulante Teil detailliert vor?</t>
  </si>
  <si>
    <t>Frage</t>
  </si>
  <si>
    <t>Betrag</t>
  </si>
  <si>
    <t>Antwort</t>
  </si>
  <si>
    <t>Kontrollen</t>
  </si>
  <si>
    <t>Vorgabe / Bemerkung / Fragen / Prüfung:</t>
  </si>
  <si>
    <t>Resultat:</t>
  </si>
  <si>
    <t>Werte</t>
  </si>
  <si>
    <t>Personalaufwand (30-39)</t>
  </si>
  <si>
    <t>Betrag Gesamtaufwand gemäss Jahresbericht, bitte Beträge wie im Jahresbericht veröffentlicht eintragen.</t>
  </si>
  <si>
    <t>Gesamtaufwand Jahresbericht</t>
  </si>
  <si>
    <t>Betrag Gesamtaufwand gemäss ITAR_K Gesamtsicht, Zelle C15</t>
  </si>
  <si>
    <t>stat. Tarif KVG ZV 
akut</t>
  </si>
  <si>
    <t>stat. Tarif KVG ZV 
Erw. Psychi</t>
  </si>
  <si>
    <t>stat. Tarif ZMT ZV 
Erw. Psychi</t>
  </si>
  <si>
    <t>Tarif 
TARMED</t>
  </si>
  <si>
    <t>Tarif 
Labor</t>
  </si>
  <si>
    <t>Tarif 
Physio</t>
  </si>
  <si>
    <t>Tarif 
Ergo-therapie</t>
  </si>
  <si>
    <t>Tarif 
Zahnarzt SSO</t>
  </si>
  <si>
    <t>Tarif 
Zytostatika</t>
  </si>
  <si>
    <t>Tarif 
Dialyse</t>
  </si>
  <si>
    <t>stat. Tarif ZMT ZV 
akut</t>
  </si>
  <si>
    <t>übrige Selbstzahler 
akut</t>
  </si>
  <si>
    <t xml:space="preserve">Pulmonale Rehab. 
ZMT </t>
  </si>
  <si>
    <t>Pulmonale Rehab. 
ZMT ZV</t>
  </si>
  <si>
    <t>stat. 
Tarif ZMT 
akut</t>
  </si>
  <si>
    <t xml:space="preserve">Geriatrische Rehab. 
rein stat. KVG </t>
  </si>
  <si>
    <t xml:space="preserve">Muskulosk. Rehab. 
rein stat. KVG </t>
  </si>
  <si>
    <t xml:space="preserve">Neuro. Rehab. 
rein stat. KVG </t>
  </si>
  <si>
    <t xml:space="preserve">Pulmonale Rehab. 
rein stat. KVG </t>
  </si>
  <si>
    <t>rein stat. KVG Fälle 
Erw. Psychi</t>
  </si>
  <si>
    <t>stat. 
Tarif ZMT 
Erw. Psychi</t>
  </si>
  <si>
    <t>rein stat. KVG Fälle 
Kinder Psychi</t>
  </si>
  <si>
    <t>stat. Tarif KVG ZV 
Kinder Psychi</t>
  </si>
  <si>
    <t>stati.
Tarif ZMT 
Kinder Psychi</t>
  </si>
  <si>
    <t>stat. Tarif ZMT ZV 
Kinder Psychi</t>
  </si>
  <si>
    <t>übrige Selbstzahler 
Kinder Psychi</t>
  </si>
  <si>
    <t>übrige Selbstzahler 
Erw. Psychi</t>
  </si>
  <si>
    <r>
      <rPr>
        <b/>
        <sz val="10"/>
        <rFont val="Arial"/>
        <family val="2"/>
      </rPr>
      <t>Gesamtaufwand gemäss ITAR_K stimmt mit dem Total Aufwand der veröffentlichen Jahresrechnung überein</t>
    </r>
    <r>
      <rPr>
        <sz val="10"/>
        <rFont val="Arial"/>
        <family val="2"/>
      </rPr>
      <t>. 
(Toleranz CHF 499.-- - Frankenrundung)</t>
    </r>
  </si>
  <si>
    <t>übrige Selbstzahler</t>
  </si>
  <si>
    <t>Ertrag / TP</t>
  </si>
  <si>
    <t>allenfalls Abzug Beiträge universitäre Lehre und Forschung</t>
  </si>
  <si>
    <t>Betrag gem. Mappe Zusatzentgelt</t>
  </si>
  <si>
    <t>Kosten Dialyse gemäss KTR-Ausweis</t>
  </si>
  <si>
    <t>Prüfung</t>
  </si>
  <si>
    <t>Zusatzentgelt - 
Kosten KTR-Ausweis</t>
  </si>
  <si>
    <t>Total Kosten gemäss BeBu</t>
  </si>
  <si>
    <t>Wurden die Veränderungen von stillen Reserven in der Abgrenzungsrechnung ausgeschieden? Antwort ja/nein erfassen, wenn nein, bitte Betrag in Spalte D eintragen. Bildung von stillen Reserven mit positivem Vorzeichen, Auflösung von stillen Reserven mit negativem Vorzeichen.</t>
  </si>
  <si>
    <t>Krankenhausstatistik</t>
  </si>
  <si>
    <t>ITAR_K Gesamtansicht</t>
  </si>
  <si>
    <t>Variable</t>
  </si>
  <si>
    <t>KOA-Grp.</t>
  </si>
  <si>
    <t>Spalte/Zelle</t>
  </si>
  <si>
    <t>3 Personalaufwand</t>
  </si>
  <si>
    <t>A.15.01</t>
  </si>
  <si>
    <t>Summe C8+C9</t>
  </si>
  <si>
    <t>A.15.02</t>
  </si>
  <si>
    <t>C10</t>
  </si>
  <si>
    <t>A.15.08</t>
  </si>
  <si>
    <t>C13</t>
  </si>
  <si>
    <t>TOTAL Aufwand</t>
  </si>
  <si>
    <t>A.15.20</t>
  </si>
  <si>
    <t>Aufwand gemäss Jahresrechnung</t>
  </si>
  <si>
    <t>C15</t>
  </si>
  <si>
    <t>+ Zusatzkosten</t>
  </si>
  <si>
    <t>+ Anderskosten</t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</si>
  <si>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­– Anderskosten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</si>
  <si>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– Neutraler Aufwand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</si>
  <si>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TOTAL Personalaufwand</t>
    </r>
  </si>
  <si>
    <t>A.18.50</t>
  </si>
  <si>
    <t>F2.01.701</t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</si>
  <si>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∑ der Kosten nach Kostenträger</t>
    </r>
  </si>
  <si>
    <t>Abstimmung mit Krankenhausstatistik</t>
  </si>
  <si>
    <t>40 Medizinischer Bedarf</t>
  </si>
  <si>
    <t>46 Zinsaufwand</t>
  </si>
  <si>
    <t>Sachliche Abgrenzungen</t>
  </si>
  <si>
    <t>Abw. CHF</t>
  </si>
  <si>
    <t>Kontrolle</t>
  </si>
  <si>
    <t>Summe A.17.02 – A.17.05</t>
  </si>
  <si>
    <t>30-39 Personalaufwand exkl. Honorare
38  Honorare (sozialversicherungs-pflichtig)</t>
  </si>
  <si>
    <t>KTR-Ausweis</t>
  </si>
  <si>
    <r>
      <t xml:space="preserve"> 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Total Einzelkosten ambulant</t>
    </r>
  </si>
  <si>
    <r>
      <t xml:space="preserve"> 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Total Gemeinkosten ambulant</t>
    </r>
  </si>
  <si>
    <r>
      <t xml:space="preserve"> 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∑ der administrativen Fälle ambulant</t>
    </r>
  </si>
  <si>
    <r>
      <t xml:space="preserve"> 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Total Gemeinkosten stationär</t>
    </r>
  </si>
  <si>
    <r>
      <t xml:space="preserve"> 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Total Einzelkosten stationär</t>
    </r>
  </si>
  <si>
    <r>
      <t xml:space="preserve"> 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∑ der administrativen Fälle stationär</t>
    </r>
  </si>
  <si>
    <r>
      <t xml:space="preserve"> 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Total Einzelkosten Langzeitpflege</t>
    </r>
  </si>
  <si>
    <r>
      <t xml:space="preserve"> 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Total Gemeinkosten Langzeitpflege</t>
    </r>
  </si>
  <si>
    <r>
      <t xml:space="preserve"> 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∑ der administrativen Fälle Langzeitpflege</t>
    </r>
  </si>
  <si>
    <r>
      <t xml:space="preserve"> 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∑ der administrativen Fälle stationär nur Grundversicherte KVG</t>
    </r>
  </si>
  <si>
    <r>
      <t xml:space="preserve"> 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Total Einzelkosten stationär nur Grundversicherte KVG</t>
    </r>
  </si>
  <si>
    <r>
      <t xml:space="preserve"> 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Total Gemeinkosten stationär nur Grundversicherte KVG</t>
    </r>
  </si>
  <si>
    <r>
      <t xml:space="preserve"> 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Total Einzelkosten stationär nur Grundversicherte UV/IV/MV</t>
    </r>
  </si>
  <si>
    <r>
      <t xml:space="preserve"> 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Total Gemeinkosten stationär nur Grundversicherte UV/IV/MV</t>
    </r>
  </si>
  <si>
    <r>
      <t xml:space="preserve"> 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∑ der administrativen Fälle stationär nur Grundversicherte UV/IV/MV</t>
    </r>
  </si>
  <si>
    <r>
      <t xml:space="preserve"> 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∑ der Aufträge</t>
    </r>
  </si>
  <si>
    <r>
      <t xml:space="preserve"> 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Total der Erlöse (administrative Fälle und Aufträge) ambulant</t>
    </r>
  </si>
  <si>
    <r>
      <t xml:space="preserve"> 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Total der Erlöse (administrative Fälle und Aufträge) stationär</t>
    </r>
  </si>
  <si>
    <r>
      <t xml:space="preserve"> 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Total der Erlöse (administrative Fälle und Aufträge) Langzeitpflege</t>
    </r>
  </si>
  <si>
    <t>F2.01.800</t>
  </si>
  <si>
    <t>A17.06</t>
  </si>
  <si>
    <t>Total Bebu Zeitrechnung</t>
  </si>
  <si>
    <t>A Betrieb, Register Finanz und BetriebFinanzbuchhaltung - Aufwand</t>
  </si>
  <si>
    <t>A Betrieb, Register Abstimmung</t>
  </si>
  <si>
    <t>A Betrieb, Register Lohn</t>
  </si>
  <si>
    <t>F Total: Register Kosten</t>
  </si>
  <si>
    <t>F Total, Register Erlöstr.</t>
  </si>
  <si>
    <t>Werte müssen übereinstimmen, Toleranz +/- CHF 499</t>
  </si>
  <si>
    <t>Zusatzentgelt</t>
  </si>
  <si>
    <t>Zusatzentgelt Dialyse</t>
  </si>
  <si>
    <t>Total Zusatzentgelt Dialyse</t>
  </si>
  <si>
    <t>Total Zusatzentgelt SwissDRG</t>
  </si>
  <si>
    <t>weiterer stat. Reha-Tarif grundv.</t>
  </si>
  <si>
    <t>weiterer stat. Reha-Tarif ZV</t>
  </si>
  <si>
    <t>universitäre Lehre + Forschung</t>
  </si>
  <si>
    <t xml:space="preserve">weiterer Tarif reine stat. </t>
  </si>
  <si>
    <t>weiterer Terif stat. ZV</t>
  </si>
  <si>
    <t>weiterer Tarif stationär</t>
  </si>
  <si>
    <t>Mit welcher DRG-Version wurde der CM in Zeile 36 ermittelt?</t>
  </si>
  <si>
    <t>stationärer Tarif ZMT</t>
  </si>
  <si>
    <t>Geriatrische Rehab. ZMT</t>
  </si>
  <si>
    <t xml:space="preserve">Muskulosk. Rehab. KVG </t>
  </si>
  <si>
    <t xml:space="preserve">Muskulosk. Rehab. ZMT </t>
  </si>
  <si>
    <t xml:space="preserve">Neuro. Rehab. KVG </t>
  </si>
  <si>
    <t xml:space="preserve">Neuro. Rehab. ZMT </t>
  </si>
  <si>
    <t xml:space="preserve">Pulmonale Rehab. KVG </t>
  </si>
  <si>
    <t>Pulmonale  Rehab. ZMT</t>
  </si>
  <si>
    <t>+ Aufrechnung Beiträge des Kantons sofern kostenmindernd gebucht</t>
  </si>
  <si>
    <t>Kosten pro Pflegetag - Hotellerie Service</t>
  </si>
  <si>
    <t>1a</t>
  </si>
  <si>
    <t>Kontaktperson:</t>
  </si>
  <si>
    <t>Kontaktperson</t>
  </si>
  <si>
    <r>
      <t xml:space="preserve">Wie wurden die Anlagennutzungskosten </t>
    </r>
    <r>
      <rPr>
        <b/>
        <sz val="10"/>
        <rFont val="Arial"/>
        <family val="2"/>
      </rPr>
      <t>ermittelt</t>
    </r>
    <r>
      <rPr>
        <sz val="10"/>
        <rFont val="Arial"/>
        <family val="2"/>
      </rPr>
      <t xml:space="preserve"> (REKOLE</t>
    </r>
    <r>
      <rPr>
        <sz val="10"/>
        <rFont val="Calibri"/>
        <family val="2"/>
      </rPr>
      <t>®</t>
    </r>
    <r>
      <rPr>
        <sz val="10"/>
        <rFont val="Arial"/>
        <family val="2"/>
      </rPr>
      <t>, VKL, andere)</t>
    </r>
  </si>
  <si>
    <r>
      <rPr>
        <b/>
        <sz val="10"/>
        <rFont val="Arial"/>
        <family val="2"/>
      </rPr>
      <t xml:space="preserve">Ertrag 66 Total </t>
    </r>
    <r>
      <rPr>
        <sz val="10"/>
        <rFont val="Arial"/>
        <family val="2"/>
      </rPr>
      <t>unter Kostenstellen kostenmindernd gebucht, (Betrag in ITAR_K Gesamtsicht, Zelle C23)  müsste &gt; 0 sein - ansonsten ist er zu begründen resp. zu korrigieren.</t>
    </r>
  </si>
  <si>
    <r>
      <rPr>
        <b/>
        <sz val="10"/>
        <rFont val="Arial"/>
        <family val="2"/>
      </rPr>
      <t>Ertrag 66 der Nebenbetriebe</t>
    </r>
    <r>
      <rPr>
        <sz val="10"/>
        <rFont val="Arial"/>
        <family val="2"/>
      </rPr>
      <t xml:space="preserve"> unter Kostenstellen kostenmindernd gebucht, (Betrag in  ITAR_K Gesamtsicht, Zelle E23) &gt; -1  sein - ansonsten ist er zu korrigieren.</t>
    </r>
  </si>
  <si>
    <r>
      <t xml:space="preserve">Prüfung %-Abweichung der Kosten je Leistungseinheit gegenüber Vorjahr - </t>
    </r>
    <r>
      <rPr>
        <sz val="10"/>
        <rFont val="Arial"/>
        <family val="2"/>
      </rPr>
      <t>Abweichungen &lt; -5% resp. &gt; +5 % sind zu begründen!</t>
    </r>
  </si>
  <si>
    <t>Richtwert = 0.84 - 0.95 CHF je TP</t>
  </si>
  <si>
    <t>Richtwert  = 0.98 - 1.00 CHF je TP</t>
  </si>
  <si>
    <t>Richtwert = 0.80 - 1.00 CHF je TP</t>
  </si>
  <si>
    <t>Richtwert  = 0.90 - 1.10 CHF je TP</t>
  </si>
  <si>
    <t>Richtwert = 0.90 - 1.10 CHF je TP</t>
  </si>
  <si>
    <t>Richtwert = 3.00 - 3.90 CHF je TP</t>
  </si>
  <si>
    <t>Richtwert = 1.05 - 1.09 CHF je TP</t>
  </si>
  <si>
    <t>Richtwert = 0.98 - 1.01 CHF je TP</t>
  </si>
  <si>
    <t>Richtwert = 80% - 105%</t>
  </si>
  <si>
    <t>Richtwert = 100% - 110%</t>
  </si>
  <si>
    <t>Richtwert = 80% - 110%</t>
  </si>
  <si>
    <t>Richtwert = 30% - 80%</t>
  </si>
  <si>
    <t>Richtwert = 80% - 120%</t>
  </si>
  <si>
    <t>F2.01.20.01</t>
  </si>
  <si>
    <t>F2.01.40.01</t>
  </si>
  <si>
    <t>F2.01.50.01</t>
  </si>
  <si>
    <t>F2.01.20.02</t>
  </si>
  <si>
    <t>F2.01.40.02</t>
  </si>
  <si>
    <t>F2.01.50.02</t>
  </si>
  <si>
    <t>F2.01.20.03</t>
  </si>
  <si>
    <t>F2.01.40.03</t>
  </si>
  <si>
    <t>F2.01.50.03</t>
  </si>
  <si>
    <t>F2.01.20.05</t>
  </si>
  <si>
    <t>F2.01.40.05</t>
  </si>
  <si>
    <t>F2.01.50.05</t>
  </si>
  <si>
    <t>F2.01.20.08</t>
  </si>
  <si>
    <t>F2.01.40.08</t>
  </si>
  <si>
    <t>F2.01.50.08</t>
  </si>
  <si>
    <t>F2.02.30.01</t>
  </si>
  <si>
    <t>F2.02.30.02</t>
  </si>
  <si>
    <t>F2.02.30.03</t>
  </si>
  <si>
    <t>Zusatzentgelt
Berechnung Abzug (ITAR_K Gesamtansicht/ Zeile 29)</t>
  </si>
  <si>
    <r>
      <t xml:space="preserve">Total in CHF </t>
    </r>
    <r>
      <rPr>
        <sz val="10"/>
        <rFont val="Arial"/>
        <family val="2"/>
      </rPr>
      <t>(proportionaler Abzug (nach NBK II) in ITAR_K Gesamtansicht, Zeile 28))</t>
    </r>
  </si>
  <si>
    <t>Ausweis der gemeinwirtschaftlichen Leistungen, wenn diese subsidiär in Abzug gebracht werden (Zeile 26)</t>
  </si>
  <si>
    <r>
      <t xml:space="preserve">Total in CHF </t>
    </r>
    <r>
      <rPr>
        <sz val="10"/>
        <rFont val="Arial"/>
        <family val="2"/>
      </rPr>
      <t>(= Zelle C26, ITAR_K Gesamtansicht)</t>
    </r>
  </si>
  <si>
    <t>rein stat. KVG Fälle
akut</t>
  </si>
  <si>
    <t>Sachaufwand  (40-49) inkl. Anlagen.</t>
  </si>
  <si>
    <t>Nach einer Idee von Hans Isler, Inselspital</t>
  </si>
  <si>
    <t>Total Gemeinkosten (exkl. Anlagenutzungskosten des Kostenblocks A')</t>
  </si>
  <si>
    <t>Anzahl Austritte</t>
  </si>
  <si>
    <t>Vorjahreswert benchmarking-relevanter Basiswert (Bezug: Fall, Tag,…)</t>
  </si>
  <si>
    <t>Weitere Beiträge Kanton</t>
  </si>
  <si>
    <r>
      <rPr>
        <b/>
        <sz val="9"/>
        <rFont val="Arial"/>
        <family val="2"/>
      </rPr>
      <t>Total in CHF</t>
    </r>
    <r>
      <rPr>
        <sz val="9"/>
        <rFont val="Arial"/>
        <family val="2"/>
      </rPr>
      <t xml:space="preserve"> (Übertrag des Wertes in Zelle C30 in ITAR_K Gesamtansicht)</t>
    </r>
  </si>
  <si>
    <t>Beiträge Kanton für die universitäre Bildung</t>
  </si>
  <si>
    <t>Wurden allfällige weitere Beiträge des Kantons (nicht GWL/universitäre L. &amp; F.) kostenmindernd gebucht? Wenn ja, bitte Betrag in Spalte C eintragen.</t>
  </si>
  <si>
    <t>Wurden allfällige Beiträge für die universitäre Bildung  kostenmindernd gebucht? Wenn nein, bitte Betrag in Spalte C eintragen.</t>
  </si>
  <si>
    <t>Abweichung in %</t>
  </si>
  <si>
    <t xml:space="preserve">Kardiovask. Rehab. 
rein stat. KVG </t>
  </si>
  <si>
    <t xml:space="preserve">Kardiovask. Rehab. 
ZV KVG </t>
  </si>
  <si>
    <t xml:space="preserve">Kardiovask. Rehab. 
ZMT </t>
  </si>
  <si>
    <t>Kardiovask. Rehab. 
ZMT ZV</t>
  </si>
  <si>
    <t xml:space="preserve">Pädiatrische Rehab. 
rein stat. KVG </t>
  </si>
  <si>
    <t xml:space="preserve">Pädiatrische Rehab. 
ZV KVG </t>
  </si>
  <si>
    <t>Pädiatrische Rehabilitation stationär</t>
  </si>
  <si>
    <t xml:space="preserve">Kardiovask. Rehab. KVG </t>
  </si>
  <si>
    <t xml:space="preserve">Kardiovask. Rehab. ZMT </t>
  </si>
  <si>
    <t xml:space="preserve">Pädiatrische Rehab. KVG </t>
  </si>
  <si>
    <t>Pädiatrische Rehab. Stat. ZMT</t>
  </si>
  <si>
    <t>Je nach Ausweis in der Krankenhausstatistik, können die Nebenbetriebe zu einer Differenz führen.</t>
  </si>
  <si>
    <t>weiterer Tarif stat. ZV</t>
  </si>
  <si>
    <t>Total Gesamtkosten Vorjahr</t>
  </si>
  <si>
    <t>Total Kosten (nach Kostenträger)</t>
  </si>
  <si>
    <t>DRG</t>
  </si>
  <si>
    <t>Parti-
tion</t>
  </si>
  <si>
    <t>Prä-MDC</t>
  </si>
  <si>
    <t>A16A</t>
  </si>
  <si>
    <t>O</t>
  </si>
  <si>
    <t>Transplantation von Darm oder Pankreas</t>
  </si>
  <si>
    <t>A16B</t>
  </si>
  <si>
    <t>Injektion von Pankreasgewebe</t>
  </si>
  <si>
    <t>A43Z</t>
  </si>
  <si>
    <t>A</t>
  </si>
  <si>
    <t>Frührehabilitation bei Wachkoma und Locked-in-Syndrom</t>
  </si>
  <si>
    <t>MDC 01 Krankheiten und Störungen des Nervensystems</t>
  </si>
  <si>
    <t>B11Z</t>
  </si>
  <si>
    <t>Frührehabilitation mit Kraniotomie, grosser Wirbelsäulen-Operation, bestimmter OR-Prozedur oder aufwändiger Operation am Nervensystem mit Beatmung &gt; 95 Stunden</t>
  </si>
  <si>
    <t>B43Z</t>
  </si>
  <si>
    <t>Frührehabilitation bei Krankheiten und Störungen des Nervensystems mehr als 27 Tage</t>
  </si>
  <si>
    <t>MDC 04 Krankheiten und Störungen der Atmungsorgane</t>
  </si>
  <si>
    <t>E41Z</t>
  </si>
  <si>
    <t>Frührehabilitation bei Krankheiten und Störungen der Atmungsorgane</t>
  </si>
  <si>
    <t>MDC 05 Krankheiten und Störungen des Kreislaufsystems</t>
  </si>
  <si>
    <t>F29Z</t>
  </si>
  <si>
    <t>Frührehabilitation bei Krankheiten und Störungen des Kreislaufsystems, mit bestimmter OR-Prozedur, ausser kardiothorakale Eingriffe</t>
  </si>
  <si>
    <t>F45Z</t>
  </si>
  <si>
    <t>Frührehabilitation bei Krankheiten und Störungen des Kreislaufsystems</t>
  </si>
  <si>
    <t>MDC 06 Krankheiten und Störungen der Verdauungsorgane</t>
  </si>
  <si>
    <t>G51Z</t>
  </si>
  <si>
    <t>Frührehabilitation bei Krankheiten und Störungen der Verdauungsorgane</t>
  </si>
  <si>
    <t>MDC 08 Krankheiten und Störungen an Muskel-Skelett-System und Bindegewebe</t>
  </si>
  <si>
    <t>I40Z</t>
  </si>
  <si>
    <t>Frührehabilitation bei Krankheiten und Störungen an Muskel-Skelett-System und Bindegewebe</t>
  </si>
  <si>
    <t>I96Z</t>
  </si>
  <si>
    <t>Frührehabilitation mit bestimmter OR-Prozedur bei Krankheiten und Störungen an Muskel-Skelett-System und Bindegewebe, mehr als 20 Tage</t>
  </si>
  <si>
    <t>MDC 10 Endokrine, Ernährungs- und Stoffwechselkrankheiten</t>
  </si>
  <si>
    <t>K01Z</t>
  </si>
  <si>
    <t>Verschiedene Eingriffe bei Diabetes mellitus mit Komplikationen, mit Frührehabilitation oder geriatrischer frührehabilitativer Komplexbehandlung</t>
  </si>
  <si>
    <t>K43Z</t>
  </si>
  <si>
    <t>Frührehabilitation bei endokrinen, Ernährungs- und Stoffwechselkrankheiten</t>
  </si>
  <si>
    <t>MDC 21A Polytrauma</t>
  </si>
  <si>
    <t>W01A</t>
  </si>
  <si>
    <t>Polytrauma mit Beatmung oder Kraniotomie oder komplexe Vakuumbehandlung oder mikrovaskulärer Eingriff, mit Frührehabilitation</t>
  </si>
  <si>
    <t>W05Z</t>
  </si>
  <si>
    <t>Frührehabilitation bei Polytrauma mit OR-Prozedur</t>
  </si>
  <si>
    <t>W40Z</t>
  </si>
  <si>
    <t>Frührehabilitation bei Polytrauma</t>
  </si>
  <si>
    <t>MDC 23 Faktoren, die den Gesundheitszustand beeinflussen, und andere Inanspruchnahme des Gesundheitswesens</t>
  </si>
  <si>
    <t>Z02Z</t>
  </si>
  <si>
    <t>Leberspende (Lebendspende)</t>
  </si>
  <si>
    <t>Überlieger-korrektur Stationär Vorjahr</t>
  </si>
  <si>
    <t>Überlieger-korrektur Stationär laufendes Jahr</t>
  </si>
  <si>
    <t>./. Abzüge für unbewertete DRG und Zusatzentgelte SwissDRG (bewertete und unbewertete)</t>
  </si>
  <si>
    <t xml:space="preserve">übrige Selbstzahler 
</t>
  </si>
  <si>
    <t xml:space="preserve">stat. Tarif KVG Total
</t>
  </si>
  <si>
    <t>stat. Tarif ZMT total</t>
  </si>
  <si>
    <t>CHOP-/ ATC-Kode</t>
  </si>
  <si>
    <t>Vergütung</t>
  </si>
  <si>
    <t xml:space="preserve">Links- und rechtsventrikuläre Herzassistenzsysteme („Kunstherz“)
</t>
  </si>
  <si>
    <t>Vergütung zum Einstandspreis (inkl. der vom Spital bezahlten MwSt.), allfällige Rabatte werden in Abzug gebracht</t>
  </si>
  <si>
    <t>Behandlung von Blutern (Hämophiliepatienten) mit Blutgerinnungsfaktoren</t>
  </si>
  <si>
    <t>B02BD05</t>
  </si>
  <si>
    <t>Gerinnungsfaktor VII plasmatisch</t>
  </si>
  <si>
    <t>B02BD06</t>
  </si>
  <si>
    <t>Von-Willebrand-Faktor und Faktor VIII in Kombination</t>
  </si>
  <si>
    <t>B02BD07</t>
  </si>
  <si>
    <t>Gerinnungsfaktor XIII</t>
  </si>
  <si>
    <t>Zusatzentgelt unbewertet
Berechnung Abzug (ITAR_K Gesamtansicht/ Zeile 29)</t>
  </si>
  <si>
    <t>Total unbewertete SwissDRG Fallpauschalen</t>
  </si>
  <si>
    <t>Total unbewertete Zusatzentgelt SwissDRG</t>
  </si>
  <si>
    <r>
      <t xml:space="preserve">ZE-B-2014-01 </t>
    </r>
    <r>
      <rPr>
        <b/>
        <vertAlign val="superscript"/>
        <sz val="9"/>
        <rFont val="Arial"/>
        <family val="2"/>
      </rPr>
      <t>2</t>
    </r>
  </si>
  <si>
    <t>Hämodialyse, Hämofiltration, Hämodiafiltration, intermittierend</t>
  </si>
  <si>
    <t>Hämodialyse, Hämofiltration, Hämodiafiltration, kontinuierlich,
bis 24 Stunden</t>
  </si>
  <si>
    <t>Unterstützung resp. Ersatz der Nierenfunktion durch Peritonealdialyse: Kontinuierlich, nicht maschinell unterstützt (CAPD): Bis 24 Stunden</t>
  </si>
  <si>
    <t>Unterstützung resp. Ersatz der Nierenfunktion durch Peritonealdialyse: Kontinuierlich, maschinell unterstützt (APD), mit Zusatzgeräten: Bis 24 Stunden</t>
  </si>
  <si>
    <t>Unterstützung resp. Ersatz der Nierenfunktion durch Peritonealdialyse: Kontinuierlich, nicht maschinell unterstützt (CAPD): Mehr als 24 bis 72 Stunden</t>
  </si>
  <si>
    <t>Unterstützung resp. Ersatz der Nierenfunktion durch Peritonealdialyse: Kontinuierlich, maschinell unterstützt (APD), mit Zusatzgeräten: Mehr als 24 bis 72 Stunden</t>
  </si>
  <si>
    <t>Unterstützung resp. Ersatz der Nierenfunktion durch Peritonealdialyse: Kontinuierlich, nicht maschinell unterstützt (CAPD): Mehr als 72 bis 144 Stunden</t>
  </si>
  <si>
    <t>Unterstützung resp. Ersatz der Nierenfunktion durch Peritonealdialyse: Kontinuierlich, maschinell unterstützt (APD), mit Zusatzgeräten: Mehr als 72 bis 144 Stunden</t>
  </si>
  <si>
    <t>Unterstützung resp. Ersatz der Nierenfunktion durch Peritonealdialyse: Kontinuierlich, nicht maschinell unterstützt (CAPD): Mehr als 144 bis 264 Stunden</t>
  </si>
  <si>
    <t>Unterstützung resp. Ersatz der Nierenfunktion durch Peritonealdialyse: Kontinuierlich, maschinell unterstützt (APD), mit Zusatzgeräten: Mehr als 144 bis 264 Stunden</t>
  </si>
  <si>
    <t>Unterstützung resp. Ersatz der Nierenfunktion durch Peritonealdialyse: Kontinuierlich, nicht maschinell unterstützt (CAPD): Mehr als 264 bis 432 Stunden</t>
  </si>
  <si>
    <t>Unterstützung resp. Ersatz der Nierenfunktion durch Peritonealdialyse: Kontinuierlich, maschinell unterstützt (APD), mit Zusatzgeräten: Mehr als 264 bis 432 Stunden</t>
  </si>
  <si>
    <t>ZusatzentgeltMedikamente</t>
  </si>
  <si>
    <t>Human-Immunglobulin, polyvalent, parenteral</t>
  </si>
  <si>
    <t>J06BA02</t>
  </si>
  <si>
    <t>5 g bis unter 10 g</t>
  </si>
  <si>
    <t>10 g bis unter 15 g</t>
  </si>
  <si>
    <t>15 g bis unter 25 g</t>
  </si>
  <si>
    <t>25 g bis unter 35 g</t>
  </si>
  <si>
    <t>35 g bis unter 45 g</t>
  </si>
  <si>
    <t>45 g bis unter 55 g</t>
  </si>
  <si>
    <t>55 g bis unter 65 g</t>
  </si>
  <si>
    <t>65 g bis unter 75 g</t>
  </si>
  <si>
    <t>75 g bis unter 85 g</t>
  </si>
  <si>
    <t>85 g bis unter 105 g</t>
  </si>
  <si>
    <t>105 g bis unter 125 g</t>
  </si>
  <si>
    <t>125 g bis unter 145 g</t>
  </si>
  <si>
    <t>145 g bis unter 165 g</t>
  </si>
  <si>
    <t>165 g bis unter 185 g</t>
  </si>
  <si>
    <t>185 g bis unter 205 g</t>
  </si>
  <si>
    <t>205 g bis unter 225 g</t>
  </si>
  <si>
    <t>225 g bis unter 245 g</t>
  </si>
  <si>
    <t>245 g bis unter 285 g</t>
  </si>
  <si>
    <t>285 g bis unter 325 g</t>
  </si>
  <si>
    <t>325 g bis unter 365 g</t>
  </si>
  <si>
    <t>365 g bis unter 445 g</t>
  </si>
  <si>
    <t>445 g bis unter 525 g</t>
  </si>
  <si>
    <t>525 g bis unter 605 g</t>
  </si>
  <si>
    <t>605 g bis unter 685 g</t>
  </si>
  <si>
    <t>685 g bis unter 765 g</t>
  </si>
  <si>
    <t>765 g bis unter 845 g</t>
  </si>
  <si>
    <t>845 g und mehr</t>
  </si>
  <si>
    <t>Human-Immunglobulin gegen Hepatitis-B, parenteral</t>
  </si>
  <si>
    <t>J06BB04</t>
  </si>
  <si>
    <t>1000 IU bis unter 2000 IU</t>
  </si>
  <si>
    <t>2000 IU bis unter 4000 IU</t>
  </si>
  <si>
    <t>4000 IU bis unter 6000 IU</t>
  </si>
  <si>
    <t>6000 IU bis unter 8000 IU</t>
  </si>
  <si>
    <t>8000 IU bis unter 10000 IU</t>
  </si>
  <si>
    <t>10000 IU bis unter 12000 IU</t>
  </si>
  <si>
    <t>12000 IU bis unter 14000 IU</t>
  </si>
  <si>
    <t>14000 IU bis unter 16000 IU</t>
  </si>
  <si>
    <t>16000 IU bis unter 18000 IU</t>
  </si>
  <si>
    <t>18000 IU bis unter 20000 IU</t>
  </si>
  <si>
    <t>20000 IU bis unter 22000 IU</t>
  </si>
  <si>
    <t>22000 IU bis unter 24000 IU</t>
  </si>
  <si>
    <t>24000 IU bis unter 28000 IU</t>
  </si>
  <si>
    <t>28000 IU bis unter 32000 IU</t>
  </si>
  <si>
    <t>32000 IU bis unter 36000 IU</t>
  </si>
  <si>
    <t>36000 IU bis unter 40000 IU</t>
  </si>
  <si>
    <t>40000 IU bis unter 46000 IU</t>
  </si>
  <si>
    <t>46000 IU bis unter 52000 IU</t>
  </si>
  <si>
    <t>52000 IU bis unter 58000 IU</t>
  </si>
  <si>
    <t>58000 IU bis unter 64000 IU</t>
  </si>
  <si>
    <t>64000 IU und mehr</t>
  </si>
  <si>
    <t>J06BB09</t>
  </si>
  <si>
    <t>2000 U bis unter 4000 U</t>
  </si>
  <si>
    <t>4000 U bis unter 6000 U</t>
  </si>
  <si>
    <t>6000 U bis unter 10000 U</t>
  </si>
  <si>
    <t>10000 U bis unter 15000 U</t>
  </si>
  <si>
    <t>15000 U bis unter 20000 U</t>
  </si>
  <si>
    <t>20000 U bis unter 25000 U</t>
  </si>
  <si>
    <t>25000 U bis unter 30000 U</t>
  </si>
  <si>
    <t>30000 U bis unter 40000 U</t>
  </si>
  <si>
    <t>40000 U bis unter 50000 U</t>
  </si>
  <si>
    <t>50000 U bis unter 60000 U</t>
  </si>
  <si>
    <t>60000 U bis unter 70000 U</t>
  </si>
  <si>
    <t>70000 U bis unter 80000 U</t>
  </si>
  <si>
    <t>80000 U bis unter 90000 U</t>
  </si>
  <si>
    <t>90000 U bis unter 100000 U</t>
  </si>
  <si>
    <t>100000 U und mehr</t>
  </si>
  <si>
    <t>Pemetrexed, parenteral</t>
  </si>
  <si>
    <t>L01BA04</t>
  </si>
  <si>
    <t>600 mg bis unter 700 mg</t>
  </si>
  <si>
    <t>700 mg bis unter 800 mg</t>
  </si>
  <si>
    <t>800 mg bis unter 900 mg</t>
  </si>
  <si>
    <t>900 mg bis unter 1000 mg</t>
  </si>
  <si>
    <t>1000 mg bis unter 1100 mg</t>
  </si>
  <si>
    <t>1100 mg bis unter 1200 mg</t>
  </si>
  <si>
    <t>1200 mg bis unter 1400 mg</t>
  </si>
  <si>
    <t>1400 mg bis unter 1600 mg</t>
  </si>
  <si>
    <t>1600 mg bis unter 1800 mg</t>
  </si>
  <si>
    <t>1800 mg bis unter 2000 mg</t>
  </si>
  <si>
    <t>2000 mg bis unter 2200 mg</t>
  </si>
  <si>
    <t>2200 mg bis unter 2400 mg</t>
  </si>
  <si>
    <t>2400 mg bis unter 2600 mg</t>
  </si>
  <si>
    <t>2600 mg bis unter 2800 mg</t>
  </si>
  <si>
    <t>2800 mg bis unter 3000 mg</t>
  </si>
  <si>
    <t>3000 mg bis unter 3300 mg</t>
  </si>
  <si>
    <t>3300 mg bis unter 3600 mg</t>
  </si>
  <si>
    <t>3600 mg bis unter 3900 mg</t>
  </si>
  <si>
    <t>3900 mg und mehr</t>
  </si>
  <si>
    <t>Rituximab, parenteral</t>
  </si>
  <si>
    <t>L01XC02</t>
  </si>
  <si>
    <t>150 mg bis unter 250 mg</t>
  </si>
  <si>
    <t>250 mg bis unter 350 mg</t>
  </si>
  <si>
    <t>350 mg bis unter 450 mg</t>
  </si>
  <si>
    <t>450 mg bis unter 550 mg</t>
  </si>
  <si>
    <t>550 mg bis unter 650 mg</t>
  </si>
  <si>
    <t>650 mg bis unter 750 mg</t>
  </si>
  <si>
    <t>750 mg bis unter 850 mg</t>
  </si>
  <si>
    <t>850 mg bis unter 950 mg</t>
  </si>
  <si>
    <t>950 mg bis unter 1050 mg</t>
  </si>
  <si>
    <t>1050 mg bis unter 1250 mg</t>
  </si>
  <si>
    <t>1250 mg bis unter 1450 mg</t>
  </si>
  <si>
    <t>1450 mg bis unter 1650 mg</t>
  </si>
  <si>
    <t>1650 mg bis unter 1850 mg</t>
  </si>
  <si>
    <t>1850 mg bis unter 2050 mg</t>
  </si>
  <si>
    <t>2050 mg bis unter 2450 mg</t>
  </si>
  <si>
    <t>2450 mg bis unter 2850 mg</t>
  </si>
  <si>
    <t>2850 mg bis unter 3250 mg</t>
  </si>
  <si>
    <t>3250 mg bis unter 3650 mg</t>
  </si>
  <si>
    <t>3650 mg und mehr</t>
  </si>
  <si>
    <t>Trastuzumab, parenteral</t>
  </si>
  <si>
    <t>L01XC03</t>
  </si>
  <si>
    <t>100 mg bis unter 150 mg</t>
  </si>
  <si>
    <t>150 mg bis unter 200 mg</t>
  </si>
  <si>
    <t>200 mg bis unter 250 mg</t>
  </si>
  <si>
    <t>250 mg bis unter 300 mg</t>
  </si>
  <si>
    <t>300 mg bis unter 350 mg</t>
  </si>
  <si>
    <t>350 mg bis unter 400 mg</t>
  </si>
  <si>
    <t>400 mg bis unter 450 mg</t>
  </si>
  <si>
    <t>450 mg bis unter 500 mg</t>
  </si>
  <si>
    <t>500 mg bis unter 600 mg</t>
  </si>
  <si>
    <t>1000 mg bis unter 1200 mg</t>
  </si>
  <si>
    <t>1400 mg und mehr</t>
  </si>
  <si>
    <t>Cetuximab, parenteral</t>
  </si>
  <si>
    <t>L01XC06</t>
  </si>
  <si>
    <t>850 mg bis unter 1050 mg</t>
  </si>
  <si>
    <t>1850 mg bis unter 2150 mg</t>
  </si>
  <si>
    <t>2150 mg bis unter 2450 mg</t>
  </si>
  <si>
    <t>2450 mg bis unter 2750 mg</t>
  </si>
  <si>
    <t>2750 mg bis unter 3050 mg</t>
  </si>
  <si>
    <t>3050 mg bis unter 3350 mg</t>
  </si>
  <si>
    <t>3350 mg und mehr</t>
  </si>
  <si>
    <t>Bevacizumab, parenteral</t>
  </si>
  <si>
    <t>L01XC07</t>
  </si>
  <si>
    <t>950 mg bis unter 1150 mg</t>
  </si>
  <si>
    <t>1150 mg bis unter 1350 mg</t>
  </si>
  <si>
    <t>1350 mg bis unter 1550 mg</t>
  </si>
  <si>
    <t>1550 mg bis unter 1750 mg</t>
  </si>
  <si>
    <t>1750 mg bis unter 1950 mg</t>
  </si>
  <si>
    <t>1950 mg bis unter 2350 mg</t>
  </si>
  <si>
    <t>2350 mg bis unter 2750 mg</t>
  </si>
  <si>
    <t>2750 mg und mehr</t>
  </si>
  <si>
    <t>Bortezomib, parenteral</t>
  </si>
  <si>
    <t>L01XX32</t>
  </si>
  <si>
    <t>1,5 mg bis unter 2,5 mg</t>
  </si>
  <si>
    <t>2,5 mg bis unter 3,5 mg</t>
  </si>
  <si>
    <t>3,5 mg bis unter 4,5 mg</t>
  </si>
  <si>
    <t>4,5 mg bis unter 5,5 mg</t>
  </si>
  <si>
    <t>5,5 mg bis unter 6,5 mg</t>
  </si>
  <si>
    <t>6,5 mg bis unter 7,5 mg</t>
  </si>
  <si>
    <t>7,5 mg bis unter 8,5 mg</t>
  </si>
  <si>
    <t>8,5 mg bis unter 9,5 mg</t>
  </si>
  <si>
    <t>9,5 mg bis unter 10,5 mg</t>
  </si>
  <si>
    <t>10,5 mg bis unter 11,5 mg</t>
  </si>
  <si>
    <t>11,5 mg bis unter 13,5 mg</t>
  </si>
  <si>
    <t>13,5 mg bis unter 15,5 mg</t>
  </si>
  <si>
    <t>15,5 mg bis unter 17,5 mg</t>
  </si>
  <si>
    <t>17,5 mg bis unter 19,5 mg</t>
  </si>
  <si>
    <t>19,5 mg bis unter 21,5 mg</t>
  </si>
  <si>
    <t>21,5 mg bis unter 23,5 mg</t>
  </si>
  <si>
    <t>23,5 mg bis unter 25,5 mg</t>
  </si>
  <si>
    <t>25,5 mg bis unter 27,5 mg</t>
  </si>
  <si>
    <t>27,5 mg bis unter 29,5 mg</t>
  </si>
  <si>
    <t>29,5 mg und mehr</t>
  </si>
  <si>
    <t>Caspofungin, parenteral</t>
  </si>
  <si>
    <t>J02AX04</t>
  </si>
  <si>
    <t>35 mg bis unter 65 mg</t>
  </si>
  <si>
    <t>65 mg bis unter 100 mg</t>
  </si>
  <si>
    <t>1600 mg bis unter 2000 mg</t>
  </si>
  <si>
    <t>2000 mg bis unter 2400 mg</t>
  </si>
  <si>
    <t>2400 mg bis unter 2800 mg</t>
  </si>
  <si>
    <t>2800 mg bis unter 3600 mg</t>
  </si>
  <si>
    <t>3600 mg bis unter 4400 mg</t>
  </si>
  <si>
    <t>4400 mg bis unter 5200 mg</t>
  </si>
  <si>
    <t>5200 mg bis unter 6000 mg</t>
  </si>
  <si>
    <t>6000 mg bis unter 6800 mg</t>
  </si>
  <si>
    <t>6800 mg bis unter 7600 mg</t>
  </si>
  <si>
    <t>7600 mg bis unter 8400 mg</t>
  </si>
  <si>
    <t>8400 mg und mehr</t>
  </si>
  <si>
    <t>Liposomales Amphotericin B, parenteral</t>
  </si>
  <si>
    <t>J02AA01</t>
  </si>
  <si>
    <t>100 mg bis unter 175 mg</t>
  </si>
  <si>
    <t>175 mg bis unter 250 mg</t>
  </si>
  <si>
    <t>1950 mg bis unter 2150 mg</t>
  </si>
  <si>
    <t>2150 mg bis unter 3150 mg</t>
  </si>
  <si>
    <t>3150 mg bis unter 4150 mg</t>
  </si>
  <si>
    <t>4150 mg bis unter 5150 mg</t>
  </si>
  <si>
    <t>5150 mg bis unter 6150 mg</t>
  </si>
  <si>
    <t>6150 mg bis unter 8650 mg</t>
  </si>
  <si>
    <t>8650 mg bis unter 11150 mg</t>
  </si>
  <si>
    <t>11150 mg bis unter 13650 mg</t>
  </si>
  <si>
    <t>13650 mg bis unter 18650 mg</t>
  </si>
  <si>
    <t>18650 mg bis unter 23650 mg</t>
  </si>
  <si>
    <t>23650 mg bis unter 28650 mg</t>
  </si>
  <si>
    <t>28650 mg bis unter 33650 mg</t>
  </si>
  <si>
    <t>33650 mg bis unter 38650 mg</t>
  </si>
  <si>
    <t>38650 mg bis unter 43650 mg</t>
  </si>
  <si>
    <t>43650 mg und mehr</t>
  </si>
  <si>
    <t>Voriconazol, oral</t>
  </si>
  <si>
    <t>J02AC03</t>
  </si>
  <si>
    <t>1000 mg bis unter 1750 mg</t>
  </si>
  <si>
    <t>1750 mg bis unter 2500 mg</t>
  </si>
  <si>
    <t>2500 mg bis unter 3500 mg</t>
  </si>
  <si>
    <t>3500 mg bis unter 4500 mg</t>
  </si>
  <si>
    <t>4500 mg bis unter 6500 mg</t>
  </si>
  <si>
    <t>6500 mg bis unter 8500 mg</t>
  </si>
  <si>
    <t>8500 mg bis unter 10500 mg</t>
  </si>
  <si>
    <t>10500 mg bis unter 15500 mg</t>
  </si>
  <si>
    <t>15500 mg bis unter 20500 mg</t>
  </si>
  <si>
    <t>20500 mg bis unter 25500 mg</t>
  </si>
  <si>
    <t>25500 mg bis unter 30500 mg</t>
  </si>
  <si>
    <t>30500 mg bis unter 35500 mg</t>
  </si>
  <si>
    <t>35500 mg bis unter 40500 mg</t>
  </si>
  <si>
    <t>40500 mg bis unter 45500 mg</t>
  </si>
  <si>
    <t>45500 mg und mehr</t>
  </si>
  <si>
    <t>Voriconazol, parenteral</t>
  </si>
  <si>
    <t>600 mg bis unter 800 mg</t>
  </si>
  <si>
    <t>800 mg bis unter 1200 mg</t>
  </si>
  <si>
    <t>1200 mg bis unter 1600 mg</t>
  </si>
  <si>
    <t>2400 mg bis unter 3200 mg</t>
  </si>
  <si>
    <t>3200 mg bis unter 4000 mg</t>
  </si>
  <si>
    <t>4000 mg bis unter 4800 mg</t>
  </si>
  <si>
    <t>4800 mg bis unter 5600 mg</t>
  </si>
  <si>
    <t>5600 mg bis unter 6400 mg</t>
  </si>
  <si>
    <t>6400 mg bis unter 7200 mg</t>
  </si>
  <si>
    <t>7200 mg bis unter 8800 mg</t>
  </si>
  <si>
    <t>8800 mg bis unter 10400 mg</t>
  </si>
  <si>
    <t>10400 mg bis unter 12000 mg</t>
  </si>
  <si>
    <t>12000 mg bis unter 13600 mg</t>
  </si>
  <si>
    <t>13600 mg bis unter 16800 mg</t>
  </si>
  <si>
    <t>16800 mg bis unter 20000 mg</t>
  </si>
  <si>
    <t>20000 mg bis unter 23200 mg</t>
  </si>
  <si>
    <t>23200 mg bis unter 26400 mg</t>
  </si>
  <si>
    <t>26400 mg bis unter 32800 mg</t>
  </si>
  <si>
    <t>32800 mg bis unter 39200 mg</t>
  </si>
  <si>
    <t>39200 mg bis unter 45600 mg</t>
  </si>
  <si>
    <t>45600 mg bis unter 52000 mg</t>
  </si>
  <si>
    <t>52000 mg bis unter 64800 mg</t>
  </si>
  <si>
    <t>64800 mg bis unter 77600 mg</t>
  </si>
  <si>
    <t>77600 mg bis unter 90400 mg</t>
  </si>
  <si>
    <t>90400 mg und mehr</t>
  </si>
  <si>
    <t>Posaconazol, oral</t>
  </si>
  <si>
    <t>J02AC04</t>
  </si>
  <si>
    <t>1000 mg bis unter 2000 mg</t>
  </si>
  <si>
    <t>2000 mg bis unter 3000 mg</t>
  </si>
  <si>
    <t>3000 mg bis unter 4200 mg</t>
  </si>
  <si>
    <t>4200 mg bis unter 5400 mg</t>
  </si>
  <si>
    <t>5400 mg bis unter 6600 mg</t>
  </si>
  <si>
    <t>6600 mg bis unter 7800 mg</t>
  </si>
  <si>
    <t>7800 mg bis unter 9000 mg</t>
  </si>
  <si>
    <t>9000 mg bis unter 11400 mg</t>
  </si>
  <si>
    <t>11400 mg bis unter 13800 mg</t>
  </si>
  <si>
    <t>13800 mg bis unter 16200 mg</t>
  </si>
  <si>
    <t>16200 mg bis unter 18600 mg</t>
  </si>
  <si>
    <t>18600 mg bis unter 21000 mg</t>
  </si>
  <si>
    <t>21000 mg bis unter 25800 mg</t>
  </si>
  <si>
    <t>25800 mg bis unter 30600 mg</t>
  </si>
  <si>
    <t>30600 mg bis unter 35400 mg</t>
  </si>
  <si>
    <t>35400 mg bis unter 40200 mg</t>
  </si>
  <si>
    <t>40200 mg bis unter 45000 mg</t>
  </si>
  <si>
    <t>45000 mg bis unter 54600 mg</t>
  </si>
  <si>
    <t>54600 mg bis unter 64200 mg</t>
  </si>
  <si>
    <t>64200 mg bis unter 73800 mg</t>
  </si>
  <si>
    <t>73800 mg bis unter 83400 mg</t>
  </si>
  <si>
    <t>83400 mg bis unter 93000 mg</t>
  </si>
  <si>
    <t>93000 mg und mehr</t>
  </si>
  <si>
    <t>Anidulafungin, parenteral</t>
  </si>
  <si>
    <t>J02AX06</t>
  </si>
  <si>
    <t>75 mg bis unter 125 mg</t>
  </si>
  <si>
    <t>125 mg bis unter 200 mg</t>
  </si>
  <si>
    <t>200 mg bis unter 300 mg</t>
  </si>
  <si>
    <t>300 mg bis unter 400 mg</t>
  </si>
  <si>
    <t>400 mg bis unter 500 mg</t>
  </si>
  <si>
    <t>2800 mg bis unter 3200 mg</t>
  </si>
  <si>
    <t>6400 mg bis unter 8000 mg</t>
  </si>
  <si>
    <t>8000 mg bis unter 9600 mg</t>
  </si>
  <si>
    <t>9600 mg bis unter 11200 mg</t>
  </si>
  <si>
    <t>11200 mg bis unter 12800 mg</t>
  </si>
  <si>
    <t>12800 mg und mehr</t>
  </si>
  <si>
    <t>Infliximab, parenteral</t>
  </si>
  <si>
    <t>L04AB02</t>
  </si>
  <si>
    <t>50 mg bis unter 100 mg</t>
  </si>
  <si>
    <t>2000 mg und mehr</t>
  </si>
  <si>
    <t>Transfusion von Erythrozytenkonzentraten</t>
  </si>
  <si>
    <t>Z99.04.11</t>
  </si>
  <si>
    <r>
      <t xml:space="preserve">Transfusion von Erythrozytenkonzentrat, 6 TE bis 10 TE, Alter &lt; 15 </t>
    </r>
    <r>
      <rPr>
        <vertAlign val="superscript"/>
        <sz val="9"/>
        <rFont val="Arial"/>
        <family val="2"/>
      </rPr>
      <t>4</t>
    </r>
  </si>
  <si>
    <t>Z99.04.12</t>
  </si>
  <si>
    <r>
      <t>Transfusion von Erythrozytenkonzentrat, 11 TE bis 15 TE, Alter &lt; 15</t>
    </r>
    <r>
      <rPr>
        <vertAlign val="superscript"/>
        <sz val="9"/>
        <rFont val="Arial"/>
        <family val="2"/>
      </rPr>
      <t xml:space="preserve"> 4</t>
    </r>
  </si>
  <si>
    <t>Z99.04.14</t>
  </si>
  <si>
    <t>Transfusion von Erythrozytenkonzentrat, 16 TE bis 20 TE</t>
  </si>
  <si>
    <t>Z99.04.15</t>
  </si>
  <si>
    <t>Transfusion von Erythrozytenkonzentrat, 21 TE bis 30 TE</t>
  </si>
  <si>
    <t>Z99.04.16</t>
  </si>
  <si>
    <t>Transfusion von Erythrozytenkonzentrat, 31 TE bis 40 TE</t>
  </si>
  <si>
    <t>Z99.04.17</t>
  </si>
  <si>
    <t>Transfusion von Erythrozytenkonzentrat, 41 TE bis 50 TE</t>
  </si>
  <si>
    <t>Z99.04.18</t>
  </si>
  <si>
    <t>Transfusion von Erythrozytenkonzentrat, 51 TE bis 60 TE</t>
  </si>
  <si>
    <t>Z99.04.19</t>
  </si>
  <si>
    <t>Transfusion von Erythrozytenkonzentrat, 61 TE bis 70 TE</t>
  </si>
  <si>
    <t>Z99.04.1A</t>
  </si>
  <si>
    <t>Transfusion von Erythrozytenkonzentrat, 71 TE bis 80 TE</t>
  </si>
  <si>
    <t>Z99.04.1B</t>
  </si>
  <si>
    <t>Transfusion von Erythrozytenkonzentrat, 81 TE bis 90 TE</t>
  </si>
  <si>
    <t>Z99.04.1C</t>
  </si>
  <si>
    <t>Transfusion von Erythrozytenkonzentrat, 91 TE bis 100 TE</t>
  </si>
  <si>
    <t>Z99.04.1D</t>
  </si>
  <si>
    <t>Transfusion von Erythrozytenkonzentrat, 101 TE bis 115 TE</t>
  </si>
  <si>
    <t>Z99.04.1E</t>
  </si>
  <si>
    <t>Transfusion von Erythrozytenkonzentrat, 116 TE bis 130 TE</t>
  </si>
  <si>
    <t>Z99.04.1F</t>
  </si>
  <si>
    <t>Transfusion von Erythrozytenkonzentrat, 131 TE bis 145 TE</t>
  </si>
  <si>
    <t>Z99.04.1G</t>
  </si>
  <si>
    <t>Transfusion von Erythrozytenkonzentrat, 146 TE bis 160 TE</t>
  </si>
  <si>
    <t>Z99.04.1H</t>
  </si>
  <si>
    <t>Transfusion von Erythrozytenkonzentrat, 161 TE bis 175 TE</t>
  </si>
  <si>
    <t>Z99.04.1I</t>
  </si>
  <si>
    <t>Transfusion von Erythrozytenkonzentrat, 176 TE bis 190 TE</t>
  </si>
  <si>
    <t>Z99.04.1J</t>
  </si>
  <si>
    <t>Transfusion von Erythrozytenkonzentrat, 191 TE bis 205 TE</t>
  </si>
  <si>
    <t>Z99.04.1K</t>
  </si>
  <si>
    <t>Transfusion von Erythrozytenkonzentrat, 206 TE bis 220 TE</t>
  </si>
  <si>
    <t>Z99.04.1L</t>
  </si>
  <si>
    <t>Transfusion von Erythrozytenkonzentrat, 221 TE bis 235 TE</t>
  </si>
  <si>
    <t>Z99.04.1M</t>
  </si>
  <si>
    <t>Transfusion von Erythrozytenkonzentrat, 236 TE bis 250 TE</t>
  </si>
  <si>
    <t>Z99.04.1N</t>
  </si>
  <si>
    <t>Transfusion von Erythrozytenkonzentrat, 251 TE bis 265 TE</t>
  </si>
  <si>
    <t>Z99.04.1O</t>
  </si>
  <si>
    <t>Transfusion von Erythrozytenkonzentrat, 266 TE bis 280 TE</t>
  </si>
  <si>
    <t>Z99.04.1P</t>
  </si>
  <si>
    <t>Transfusion von Erythrozytenkonzentrat, 281 TE und mehr</t>
  </si>
  <si>
    <t>Transfusion von Thrombozytenkonzentraten</t>
  </si>
  <si>
    <t>Z99.05.10</t>
  </si>
  <si>
    <t>Transfusion von Thrombozytenkonzentrat, 1 bis 3 Konzentrate</t>
  </si>
  <si>
    <t>Z99.05.11</t>
  </si>
  <si>
    <t>Transfusion von Thrombozytenkonzentrat, 4 bis 5 Konzentrate</t>
  </si>
  <si>
    <t>Z99.05.12</t>
  </si>
  <si>
    <t>Transfusion von Thrombozytenkonzentrat, 6 bis 8 Konzentrate</t>
  </si>
  <si>
    <t>Z99.05.13</t>
  </si>
  <si>
    <t>Transfusion von Thrombozytenkonzentrat, 9 bis 12 Konzentrate</t>
  </si>
  <si>
    <t>Z99.05.14</t>
  </si>
  <si>
    <t>Transfusion von Thrombozytenkonzentrat, 13 bis 15 Konzentrate</t>
  </si>
  <si>
    <t>Z99.05.16</t>
  </si>
  <si>
    <t>Transfusion von Thrombozytenkonzentrat, 16 bis 18 Konzentrate</t>
  </si>
  <si>
    <t>Z99.05.17</t>
  </si>
  <si>
    <t>Transfusion von Thrombozytenkonzentrat, 19  bis 21 Konzentrate</t>
  </si>
  <si>
    <t>Z99.05.18</t>
  </si>
  <si>
    <t>Transfusion von Thrombozytenkonzentrat, 22  bis 24 Konzentrate</t>
  </si>
  <si>
    <t>Z99.05.19</t>
  </si>
  <si>
    <t>Transfusion von Thrombozytenkonzentrat, 25  bis 27 Konzentrate</t>
  </si>
  <si>
    <t>Z99.05.1A</t>
  </si>
  <si>
    <t>Transfusion von Thrombozytenkonzentrat, 28  bis 30 Konzentrate</t>
  </si>
  <si>
    <t>Z99.05.1B</t>
  </si>
  <si>
    <t>Transfusion von Thrombozytenkonzentrat, 31  bis 36 Konzentrate</t>
  </si>
  <si>
    <t>Z99.05.1C</t>
  </si>
  <si>
    <t>Transfusion von Thrombozytenkonzentrat, 37  bis 42 Konzentrate</t>
  </si>
  <si>
    <t>Z99.05.1D</t>
  </si>
  <si>
    <t>Transfusion von Thrombozytenkonzentrat, 43  bis 48 Konzentrate</t>
  </si>
  <si>
    <t>Z99.05.1E</t>
  </si>
  <si>
    <t>Transfusion von Thrombozytenkonzentrat, 49  bis 54 Konzentrate</t>
  </si>
  <si>
    <t>Z99.05.1F</t>
  </si>
  <si>
    <t>Transfusion von Thrombozytenkonzentrat, 55  bis 60 Konzentrate</t>
  </si>
  <si>
    <t>Z99.05.1G</t>
  </si>
  <si>
    <t>Transfusion von Thrombozytenkonzentrat, 61  bis 66 Konzentrate</t>
  </si>
  <si>
    <t>Z99.05.1H</t>
  </si>
  <si>
    <t>Transfusion von Thrombozytenkonzentrat, 67  bis 72 Konzentrate</t>
  </si>
  <si>
    <t>Z99.05.1I</t>
  </si>
  <si>
    <t>Transfusion von Thrombozytenkonzentrat, 73  bis 78 Konzentrate</t>
  </si>
  <si>
    <t>Z99.05.1J</t>
  </si>
  <si>
    <t>Transfusion von Thrombozytenkonzentrat, 79  bis 84 Konzentrate</t>
  </si>
  <si>
    <t>Z99.05.1K</t>
  </si>
  <si>
    <t>Transfusion von Thrombozytenkonzentrat, 85  bis 90 Konzentrate</t>
  </si>
  <si>
    <t>Z99.05.1L</t>
  </si>
  <si>
    <t>Transfusion von Thrombozytenkonzentrat, 91  bis 96 Konzentrate</t>
  </si>
  <si>
    <t>Z99.05.1M</t>
  </si>
  <si>
    <t>Transfusion von Thrombozytenkonzentrat, 97  bis 102 Konzentrate</t>
  </si>
  <si>
    <t>Z99.05.1N</t>
  </si>
  <si>
    <t>Transfusion von Thrombozytenkonzentrat, 103  bis 108 Konzentrate</t>
  </si>
  <si>
    <t>Z99.05.1O</t>
  </si>
  <si>
    <t>Transfusion von Thrombozytenkonzentrat, 109  bis 114 Konzentrate</t>
  </si>
  <si>
    <t>Z99.05.1P</t>
  </si>
  <si>
    <t>Transfusion von Thrombozytenkonzentrat, 115  bis 120 Konzentrate</t>
  </si>
  <si>
    <t>Z99.05.1Q</t>
  </si>
  <si>
    <t>Transfusion von Thrombozytenkonzentrat, 121  bis 126 Konzentrate</t>
  </si>
  <si>
    <t>Z99.05.1R</t>
  </si>
  <si>
    <t>Transfusion von Thrombozytenkonzentrat, 127 Konzentrate und mehr</t>
  </si>
  <si>
    <t>Transfusion von Apherese-Thrombozytenkonzentraten</t>
  </si>
  <si>
    <t>Z99.05.30</t>
  </si>
  <si>
    <t>Transfusion von Apherese-Thrombozytenkonzentrat, 1 Konzentrat</t>
  </si>
  <si>
    <t>Z99.05.32</t>
  </si>
  <si>
    <t>Transfusion von Apherese-Thrombozytenkonzentrat, 2 Konzentrate</t>
  </si>
  <si>
    <t>Z99.05.33</t>
  </si>
  <si>
    <t>Transfusion von Apherese-Thrombozytenkonzentrat, 3 Konzentrate</t>
  </si>
  <si>
    <t>Z99.05.34</t>
  </si>
  <si>
    <t>Transfusion von Apherese-Thrombozytenkonzentrat, 4 Konzentrate</t>
  </si>
  <si>
    <t>Z99.05.35</t>
  </si>
  <si>
    <t>Transfusion von Apherese-Thrombozytenkonzentrat, 5 Konzentrate</t>
  </si>
  <si>
    <t>Z99.05.36</t>
  </si>
  <si>
    <t>Transfusion von Apherese-Thrombozytenkonzentrat, 6 bis 8 Konzentrate</t>
  </si>
  <si>
    <t>Z99.05.37</t>
  </si>
  <si>
    <t>Transfusion von Apherese-Thrombozytenkonzentrat, 9 bis 12 Konzentrate</t>
  </si>
  <si>
    <t>Z99.05.38</t>
  </si>
  <si>
    <t>Transfusion von Apherese-Thrombozytenkonzentrat, 13 bis 15 Konzentrate</t>
  </si>
  <si>
    <t>Z99.05.39</t>
  </si>
  <si>
    <t>Transfusion von Apherese-Thrombozytenkonzentrat, 16 bis 18 Konzentrate</t>
  </si>
  <si>
    <t>Z99.05.3A</t>
  </si>
  <si>
    <t>Transfusion von Apherese-Thrombozytenkonzentrat, 19 bis 21 Konzentrate</t>
  </si>
  <si>
    <t>Z99.05.3B</t>
  </si>
  <si>
    <t>Transfusion von Apherese-Thrombozytenkonzentrat, 22 bis 24 Konzentrate</t>
  </si>
  <si>
    <t>Z99.05.3C</t>
  </si>
  <si>
    <t>Transfusion von Apherese-Thrombozytenkonzentrat, 25 bis 27 Konzentrate</t>
  </si>
  <si>
    <t>Z99.05.3D</t>
  </si>
  <si>
    <t>Transfusion von Apherese-Thrombozytenkonzentrat, 28 bis 30 Konzentrate</t>
  </si>
  <si>
    <t>Z99.05.3E</t>
  </si>
  <si>
    <t>Transfusion von Apherese-Thrombozytenkonzentrat, 31 bis 36 Konzentrate</t>
  </si>
  <si>
    <t>Z99.05.3F</t>
  </si>
  <si>
    <t>Transfusion von Apherese-Thrombozytenkonzentrat, 37 bis 42 Konzentrate</t>
  </si>
  <si>
    <t>Z99.05.3G</t>
  </si>
  <si>
    <t>Transfusion von Apherese-Thrombozytenkonzentrat, 43 bis 48 Konzentrate</t>
  </si>
  <si>
    <t>Z99.05.3H</t>
  </si>
  <si>
    <t>Transfusion von Apherese-Thrombozytenkonzentrat, 49 bis 54 Konzentrate</t>
  </si>
  <si>
    <t>Z99.05.3I</t>
  </si>
  <si>
    <t>Transfusion von Apherese-Thrombozytenkonzentrat, 55 bis 60 Konzentrate</t>
  </si>
  <si>
    <t>Z99.05.3J</t>
  </si>
  <si>
    <t>Transfusion von Apherese-Thrombozytenkonzentrat, 61 bis 66 Konzentrate</t>
  </si>
  <si>
    <t>Z99.05.3K</t>
  </si>
  <si>
    <t>Transfusion von Apherese-Thrombozytenkonzentrat, 67 bis 82 Konzentrate</t>
  </si>
  <si>
    <t>Z99.05.3L</t>
  </si>
  <si>
    <t>Transfusion von Apherese-Thrombozytenkonzentrat, 83 bis 88 Konzentrate</t>
  </si>
  <si>
    <t>Z99.05.3M</t>
  </si>
  <si>
    <t>Transfusion von Apherese-Thrombozytenkonzentrat, 89 bis 94 Konzentrate</t>
  </si>
  <si>
    <t>Z99.05.3N</t>
  </si>
  <si>
    <t>Transfusion von Apherese-Thrombozytenkonzentrat, 95 bis 100 Konzentrate</t>
  </si>
  <si>
    <t>Z99.05.3O</t>
  </si>
  <si>
    <t>Transfusion von Apherese-Thrombozytenkonzentrat, 101 bis 106 Konzentrate</t>
  </si>
  <si>
    <t>Z99.05.3P</t>
  </si>
  <si>
    <t>Transfusion von Apherese-Thrombozytenkonzentrat, 107 bis 112 Konzentrate</t>
  </si>
  <si>
    <t>Z99.05.3Q</t>
  </si>
  <si>
    <t>Transfusion von Apherese-Thrombozytenkonzentrat, 113 bis 118 Konzentrate</t>
  </si>
  <si>
    <t>Z99.05.3R</t>
  </si>
  <si>
    <t>Transfusion von Apherese-Thrombozytenkonzentrat, 119 Konzentrate und mehr</t>
  </si>
  <si>
    <t>Transfusion von patientenbezogenen Thrombozytenkonzentraten</t>
  </si>
  <si>
    <t>Z99.05.21</t>
  </si>
  <si>
    <t>Transfusion von patientenbezogenen Thrombozytenkonzentraten, 1 bis 3 Konzentrate</t>
  </si>
  <si>
    <t>Z99.05.22</t>
  </si>
  <si>
    <t>Transfusion von patientenbezogenen Thrombozytenkonzentraten, 4 bis 5 Konzentrate</t>
  </si>
  <si>
    <t>Z99.05.23</t>
  </si>
  <si>
    <t>Transfusion von patientenbezogenen Thrombozytenkonzentraten, 6 bis 8 Konzentrate</t>
  </si>
  <si>
    <t>Z99.05.24</t>
  </si>
  <si>
    <t>Transfusion von patientenbezogenen Thrombozytenkonzentraten, 9 bis 12 Konzentrate</t>
  </si>
  <si>
    <t>Z99.05.25</t>
  </si>
  <si>
    <t>Transfusion von patientenbezogenen Thrombozytenkonzentraten, 
13 bis 15 Konzentrate</t>
  </si>
  <si>
    <t>Z99.05.26</t>
  </si>
  <si>
    <t>Transfusion von patientenbezogenen Thrombozytenkonzentraten, 
16 bis 18 Konzentrate</t>
  </si>
  <si>
    <t>Z99.05.27</t>
  </si>
  <si>
    <t>Transfusion von patientenbezogenen Thrombozytenkonzentraten, 
19 bis 21 Konzentrate</t>
  </si>
  <si>
    <t>Z99.05.28</t>
  </si>
  <si>
    <t>Transfusion von patientenbezogenen Thrombozytenkonzentraten, 
22 bis 24 Konzentrate</t>
  </si>
  <si>
    <t>Z99.05.29</t>
  </si>
  <si>
    <t>Transfusion von patientenbezogenen Thrombozytenkonzentraten, 
25 bis 27 Konzentrate</t>
  </si>
  <si>
    <t>Z99.05.2A</t>
  </si>
  <si>
    <t>Transfusion von patientenbezogenen Thrombozytenkonzentraten, 
28 bis 30 Konzentrate</t>
  </si>
  <si>
    <t>Z99.05.2B</t>
  </si>
  <si>
    <t>Transfusion von patientenbezogenen Thrombozytenkonzentraten, 
31 bis 33 Konzentrate</t>
  </si>
  <si>
    <t>Z99.05.2C</t>
  </si>
  <si>
    <t>Transfusion von patientenbezogenen Thrombozytenkonzentraten, 
34 bis 36 Konzentrate</t>
  </si>
  <si>
    <t>Z99.05.2D</t>
  </si>
  <si>
    <t>Transfusion von patientenbezogenen Thrombozytenkonzentraten, 
37 bis 39 Konzentrate</t>
  </si>
  <si>
    <t>Z99.05.2E</t>
  </si>
  <si>
    <t>Transfusion von patientenbezogenen Thrombozytenkonzentraten, 
40 bis 42 Konzentrate</t>
  </si>
  <si>
    <t>Z99.05.2F</t>
  </si>
  <si>
    <t>Transfusion von patientenbezogenen Thrombozytenkonzentraten, 
43 bis 45 Konzentrate</t>
  </si>
  <si>
    <t>Z99.05.2G</t>
  </si>
  <si>
    <t>Transfusion von patientenbezogenen Thrombozytenkonzentraten, 
46 bis 48 Konzentrate</t>
  </si>
  <si>
    <t>Z99.05.2H</t>
  </si>
  <si>
    <t>Transfusion von patientenbezogenen Thrombozytenkonzentraten, 
49 bis 51 Konzentrate</t>
  </si>
  <si>
    <t>Z99.05.2I</t>
  </si>
  <si>
    <t>Transfusion von patientenbezogenen Thrombozytenkonzentraten, 
52 bis 54 Konzentrate</t>
  </si>
  <si>
    <t>Z99.05.2J</t>
  </si>
  <si>
    <t>Transfusion von patientenbezogenen Thrombozytenkonzentraten, 
55 bis 57 Konzentrate</t>
  </si>
  <si>
    <t>Z99.05.2K</t>
  </si>
  <si>
    <t>Transfusion von patientenbezogenen Thrombozytenkonzentraten, 
58 bis 60 Konzentrate</t>
  </si>
  <si>
    <t>Z99.05.2L</t>
  </si>
  <si>
    <t>Transfusion von patientenbezogenen Thrombozytenkonzentraten, 
61 bis 63 Konzentrate</t>
  </si>
  <si>
    <t>Z99.05.2M</t>
  </si>
  <si>
    <t>Transfusion von patientenbezogenen Thrombozytenkonzentraten, 
64 bis 66 Konzentrate</t>
  </si>
  <si>
    <t>Z99.05.2N</t>
  </si>
  <si>
    <t>Transfusion von patientenbezogenen Thrombozytenkonzentraten, 
67 bis 69 Konzentrate</t>
  </si>
  <si>
    <t>Z99.05.2O</t>
  </si>
  <si>
    <t>Transfusion von patientenbezogenen Thrombozytenkonzentraten, 
70 Konzentrate und mehr</t>
  </si>
  <si>
    <t>Selbstexpandierende Prothesen am Gastrointestinaltrakt</t>
  </si>
  <si>
    <t>Z42.81.40</t>
  </si>
  <si>
    <t>Einsetzen und Wechsel einer selbstexpandierenden Prothese (permanenter Tubus) in den Ösophagus, endoskopisch</t>
  </si>
  <si>
    <t>Z42.81.50</t>
  </si>
  <si>
    <t>Einsetzen und Wechsel einer selbstexpandierenden Prothese (permanenter Tubus) in den Ösophagus, offen chirurgisch</t>
  </si>
  <si>
    <t>Z42.81.60</t>
  </si>
  <si>
    <t>Einsetzen und Wechsel einer selbstexpandierenden Prothese (permanenter Tubus) in den Ösophagus, laparoskopisch</t>
  </si>
  <si>
    <t>Z42.81.41</t>
  </si>
  <si>
    <t>Einsetzen und Wechsel von zwei selbstexpandierenden Prothesen (permanenter Tubus) in den Ösophagus, endoskopisch</t>
  </si>
  <si>
    <t>Z42.81.51</t>
  </si>
  <si>
    <t>Einsetzen und Wechsel von zwei selbstexpandierenden Prothesen (permanenter Tubus) in den Ösophagus, offen chirurgisch</t>
  </si>
  <si>
    <t>Z42.81.61</t>
  </si>
  <si>
    <t>Einsetzen und Wechsel von zwei selbstexpandierenden Prothesen (permanenter Tubus) in den Ösophagus, laparoskopisch</t>
  </si>
  <si>
    <t>Z42.81.42</t>
  </si>
  <si>
    <t>Einsetzen und Wechsel von mehr als zwei selbstexpandierenden Prothesen (permanenter Tubus) in den Ösophagus, endoskopisch</t>
  </si>
  <si>
    <t>Z42.81.52</t>
  </si>
  <si>
    <t>Einsetzen und Wechsel von mehr als zwei selbstexpandierenden Prothesen (permanenter Tubus) in den Ösophagus, offen chirurgisch</t>
  </si>
  <si>
    <t>Z42.81.62</t>
  </si>
  <si>
    <t>Einsetzen und Wechsel von mehr als zwei selbstexpandierenden Prothesen (permanenter Tubus) in den Ösophagus, laparoskopisch</t>
  </si>
  <si>
    <t>Z44.99.60</t>
  </si>
  <si>
    <t>Einlegen oder Wechsel einer selbstexpandierenden Prothese am Magen, endoskopisch</t>
  </si>
  <si>
    <t>Z44.99.61</t>
  </si>
  <si>
    <t>Einlegen oder Wechsel einer selbstexpandierenden Prothese am Magen, offen chirurgisch</t>
  </si>
  <si>
    <t>Z44.99.62</t>
  </si>
  <si>
    <t>Einlegen oder Wechsel einer selbstexpandierenden Prothese am Magen, laparoskopisch</t>
  </si>
  <si>
    <t>Z46.99.60</t>
  </si>
  <si>
    <t>Einlegen oder Wechsel einer selbstexpandierenden Prothese am Darm, endoskopisch</t>
  </si>
  <si>
    <t>Z46.99.61</t>
  </si>
  <si>
    <t>Einlegen oder Wechsel einer selbstexpandierenden Prothese am Darm, offen chirurgisch</t>
  </si>
  <si>
    <t>Z46.99.62</t>
  </si>
  <si>
    <t>Einlegen oder Wechsel einer selbstexpandierenden Prothese am Darm, laparoskopisch</t>
  </si>
  <si>
    <t xml:space="preserve">Z48.99.60            </t>
  </si>
  <si>
    <t>Einlegen oder Wechsel einer selbstexpandierenden Prothese im Rektum</t>
  </si>
  <si>
    <t>Z51.87.20</t>
  </si>
  <si>
    <t>Endoskopische Einlage oder Wechsel eines selbstexpandierenden Stents (Prothese) in den Gallengang</t>
  </si>
  <si>
    <t>Z51.87.21</t>
  </si>
  <si>
    <t>Endoskopische Einlage oder Wechsel von zwei selbstexpandierenden Stents (Prothesen) in den Gallengang</t>
  </si>
  <si>
    <t>Z51.87.22</t>
  </si>
  <si>
    <t>Endoskopische Einlage oder Wechsel von drei oder mehreren selbstexpandierenden Stents (Prothesen) in den Gallengang</t>
  </si>
  <si>
    <t>Z51.87.30</t>
  </si>
  <si>
    <t>Endoskopische Einlage oder Wechsel eines selbstexpandierenden beschichteten Stents (Prothese) in den Gallengang</t>
  </si>
  <si>
    <t>Z51.87.31</t>
  </si>
  <si>
    <t>Endoskopische Einlage oder Wechsel von zwei selbstexpandierenden beschichteten Stents (Prothese) in den Gallengang</t>
  </si>
  <si>
    <t>Z51.87.32</t>
  </si>
  <si>
    <t>Endoskopische Einlage oder Wechsel von drei oder mehreren selbstexpandierenden beschichteten Stents (Prothese) in den Gallengang</t>
  </si>
  <si>
    <t>Z51.98.30</t>
  </si>
  <si>
    <t>Sonstige perkutane Massnahmen an den Gallenwegen, Perkutan-transhepatische Einlage oder Wechsel eines selbstexpandierenden Stents (Prothese)</t>
  </si>
  <si>
    <t>Z51.98.31</t>
  </si>
  <si>
    <t>Sonstige perkutane Massnahmen an den Gallenwegen, Perkutan-transhepatische Einlage oder Wechsel von zwei selbstexpandierenden Stents (Prothesen)</t>
  </si>
  <si>
    <t>Z51.98.32</t>
  </si>
  <si>
    <t>Sonstige perkutane Massnahmen an den Gallenwegen, Perkutan-transhepatische Einlage oder Wechsel von drei selbstexpandierenden Stents (Prothesen)</t>
  </si>
  <si>
    <t>Z51.98.33</t>
  </si>
  <si>
    <t>Sonstige perkutane Massnahmen an den Gallenwegen, Perkutan-transhepatische Einlage oder Wechsel von vier selbstexpandierenden Stents (Prothesen)</t>
  </si>
  <si>
    <t>Z51.98.34</t>
  </si>
  <si>
    <t>Sonstige perkutane Massnahmen an den Gallenwegen, Perkutan-transhepatische Einlage oder Wechsel von fünf selbstexpandierenden Stents (Prothesen)</t>
  </si>
  <si>
    <t>Z51.98.35</t>
  </si>
  <si>
    <t>Sonstige perkutane Massnahmen an den Gallenwegen, Perkutan-transhepatische Einlage oder Wechsel von sechs und mehr selbstexpandierenden Stents (Prothesen)</t>
  </si>
  <si>
    <t>Z51.99.40</t>
  </si>
  <si>
    <t>Sonstige Operation an den Gallenwegen, Einlage oder Wechsel eines selbstexpandierenden Stents (Prothese), offen chirurgisch</t>
  </si>
  <si>
    <t>Z51.99.41</t>
  </si>
  <si>
    <t>Sonstige Operation an den Gallenwegen, Einlage oder Wechsel von zwei selbstexpandierenden Stents (Prothesen), offen chirurgisch</t>
  </si>
  <si>
    <t>Z51.99.42</t>
  </si>
  <si>
    <t>Sonstige Operation an den Gallenwegen, Einlage oder Wechsel von drei selbstexpandierenden Stents (Prothesen), offen chirurgisch</t>
  </si>
  <si>
    <t>Z51.99.43</t>
  </si>
  <si>
    <t>Sonstige Operation an den Gallenwegen, Einlage oder Wechsel von vier selbstexpandierenden Stents (Prothesen), offen chirurgisch</t>
  </si>
  <si>
    <t>Z51.99.44</t>
  </si>
  <si>
    <t>Sonstige Operation an den Gallenwegen, Einlage oder Wechsel von fünf selbstexpandierenden Stents (Prothesen), offen chirurgisch</t>
  </si>
  <si>
    <t>Z51.99.45</t>
  </si>
  <si>
    <t>Sonstige Operation an den Gallenwegen, Einlage oder Wechsel von sechs oder mehr selbstexpandierenden Stents (Prothesen), offen chirurgisch</t>
  </si>
  <si>
    <t>Z51.99.50</t>
  </si>
  <si>
    <t>Sonstige Operation an den Gallenwegen, Einlage oder Wechsel eines selbstexpandierenden Stents (Prothese), laparoskopisch</t>
  </si>
  <si>
    <t>Z51.99.51</t>
  </si>
  <si>
    <t>Sonstige Operation an den Gallenwegen, Einlage oder Wechsel von zwei selbstexpandierenden Stents (Prothesen), laparoskopisch</t>
  </si>
  <si>
    <t>Z51.99.52</t>
  </si>
  <si>
    <t>Sonstige Operation an den Gallenwegen, Einlage oder Wechsel von drei selbstexpandierenden Stents (Prothesen), laparoskopisch</t>
  </si>
  <si>
    <t>Z51.99.53</t>
  </si>
  <si>
    <t>Sonstige Operation an den Gallenwegen, Einlage oder Wechsel von vier selbstexpandierenden Stents (Prothesen), laparoskopisch</t>
  </si>
  <si>
    <t>Z51.99.54</t>
  </si>
  <si>
    <t>Sonstige Operation an den Gallenwegen, Einlage oder Wechsel von fünf selbstexpandierenden Stents (Prothesen), laparoskopisch</t>
  </si>
  <si>
    <t>Z51.99.55</t>
  </si>
  <si>
    <t>Sonstige Operation an den Gallenwegen, Einlage oder Wechsel von sechs oder mehr selbstexpandierenden Stents (Prothesen), laparoskopisch</t>
  </si>
  <si>
    <t>Z52.95.50</t>
  </si>
  <si>
    <t>Einlage oder Wechsel eines selbstexpandierenden Stents (Prothese) in den Pankreasgang, offen chirurgisch</t>
  </si>
  <si>
    <t>Z52.95.51</t>
  </si>
  <si>
    <t>Einlage oder Wechsel eines selbstexpandierenden Stents (Prothese) in den Pankreasgang, laparoskopisch</t>
  </si>
  <si>
    <t>Z52.93.20</t>
  </si>
  <si>
    <t>Endoskopisches Einsetzen und Wechsel eines selbstexpandierenden Stents (Prothese) in den Ductus pancreaticus</t>
  </si>
  <si>
    <t>Einsetzen von Coils</t>
  </si>
  <si>
    <t>Z00.4A.01</t>
  </si>
  <si>
    <t>Einsetzen von 1 Coil</t>
  </si>
  <si>
    <t>Z00.4A.02</t>
  </si>
  <si>
    <t>Einsetzen von 2 Coils</t>
  </si>
  <si>
    <t>Z00.4A.03</t>
  </si>
  <si>
    <t>Einsetzen von 3 Coils</t>
  </si>
  <si>
    <t>Z00.4A.04</t>
  </si>
  <si>
    <t>Einsetzen von 4 Coils</t>
  </si>
  <si>
    <t>Z00.4A.05</t>
  </si>
  <si>
    <t>Einsetzen von 5 Coils</t>
  </si>
  <si>
    <t>Z00.4A.06</t>
  </si>
  <si>
    <t>Einsetzen von 6 Coils</t>
  </si>
  <si>
    <t>Z00.4A.07</t>
  </si>
  <si>
    <t>Einsetzen von 7 Coils</t>
  </si>
  <si>
    <t>Z00.4A.08</t>
  </si>
  <si>
    <t>Einsetzen von 8 Coils</t>
  </si>
  <si>
    <t>Z00.4A.09</t>
  </si>
  <si>
    <t>Einsetzen von 9 Coils</t>
  </si>
  <si>
    <t>Z00.4A.10</t>
  </si>
  <si>
    <t>Einsetzen von 10 Coils</t>
  </si>
  <si>
    <t>Z00.4A.11</t>
  </si>
  <si>
    <t>Einsetzen von 11 Coils</t>
  </si>
  <si>
    <t>Z00.4A.12</t>
  </si>
  <si>
    <t>Einsetzen von 12 Coils</t>
  </si>
  <si>
    <t>Z00.4A.13</t>
  </si>
  <si>
    <t>Einsetzen von 13 Coils</t>
  </si>
  <si>
    <t>Z00.4A.14</t>
  </si>
  <si>
    <t>Einsetzen von 14 Coils</t>
  </si>
  <si>
    <t>Z00.4A.15</t>
  </si>
  <si>
    <t>Einsetzen von 15 Coils</t>
  </si>
  <si>
    <t>Z00.4A.16</t>
  </si>
  <si>
    <t>Einsetzen von 16 Coils</t>
  </si>
  <si>
    <t>Z00.4A.17</t>
  </si>
  <si>
    <t>Einsetzen von 17 Coils</t>
  </si>
  <si>
    <t>Z00.4A.18</t>
  </si>
  <si>
    <t>Einsetzen von 18 Coils</t>
  </si>
  <si>
    <t>Z00.4A.19</t>
  </si>
  <si>
    <t>Einsetzen von 19 Coils</t>
  </si>
  <si>
    <t>Z00.4A.20</t>
  </si>
  <si>
    <t>Einsetzen von 20 Coils</t>
  </si>
  <si>
    <t>Apherese/Plasmapherese</t>
  </si>
  <si>
    <t>Z99.71.10</t>
  </si>
  <si>
    <t>Therapeutische Plasmapherese, mit normalem Plasma</t>
  </si>
  <si>
    <t>Z99.71.11</t>
  </si>
  <si>
    <t>Therapeutische Plasmapherese, mit Fresh Frozen Plasma (FFP)</t>
  </si>
  <si>
    <t>Z99.76.20</t>
  </si>
  <si>
    <t>LDL-Apherese</t>
  </si>
  <si>
    <t>Z99.71.99</t>
  </si>
  <si>
    <t>Therapeutische Plasmapherese, sonstige</t>
  </si>
  <si>
    <t>Z99.88</t>
  </si>
  <si>
    <t>Therapeutische Photopherese</t>
  </si>
  <si>
    <t>Total Zusatzentgelt Medikamente</t>
  </si>
  <si>
    <t>Unbewertete SwissDRG Fallpauschalen
Berechnung Abzug (ITAR_K Gesamtansicht/ Zeile 29)</t>
  </si>
  <si>
    <t>geriatrische Langzeit
stationär</t>
  </si>
  <si>
    <t>Palliativ
stationär</t>
  </si>
  <si>
    <t>weitere Tarife (z. B. SVK)
stationär</t>
  </si>
  <si>
    <t>Total stationär</t>
  </si>
  <si>
    <r>
      <rPr>
        <b/>
        <sz val="10"/>
        <rFont val="Arial"/>
        <family val="2"/>
      </rPr>
      <t>Sachliche Abgrenzungen</t>
    </r>
    <r>
      <rPr>
        <sz val="10"/>
        <rFont val="Arial"/>
        <family val="2"/>
      </rPr>
      <t xml:space="preserve"> (Zelle D15) Kontrollfrage</t>
    </r>
  </si>
  <si>
    <t>Kontrollspalte ITAR_K/
KTR-Ausweis</t>
  </si>
  <si>
    <t>Zuschlag ANK auf Gesamtkosten ohne ANK</t>
  </si>
  <si>
    <t>Blut und Blutprodukte</t>
  </si>
  <si>
    <t>Arzneimittel (exkl. Blut und Blutprodukte), inkl. GK-Zuschläge</t>
  </si>
  <si>
    <t>Implantate</t>
  </si>
  <si>
    <t>Material (exkl. Implantate), Instrumente, Utensilien, Textilien, inkl. GK-Zuschläge</t>
  </si>
  <si>
    <t>Anzahl Fälle (exkl. unbewertete DRG-Fälle)</t>
  </si>
  <si>
    <t>Kalk. EP, inkl. GK-Zuschläge</t>
  </si>
  <si>
    <t>Arzneimittel (exkl. Blut und Blutprodukte)</t>
  </si>
  <si>
    <t>Material (exkl. Implantate), Instrumente, Utensilien, Textilien</t>
  </si>
  <si>
    <t>Medizinische, diagn. und therap. Fremdleistungen (exkl. Artzhonorare)</t>
  </si>
  <si>
    <t>Arzthonorare (nicht sozialversicherungspflichtig)</t>
  </si>
  <si>
    <t>Fragen zum ITAR_K</t>
  </si>
  <si>
    <t>Fragen/Bemerkungen</t>
  </si>
  <si>
    <t>REKOLE</t>
  </si>
  <si>
    <t>Summe der verrechneten Anlagenutzungskosten nach</t>
  </si>
  <si>
    <t>Spitalname</t>
  </si>
  <si>
    <t>Standort/Standorte</t>
  </si>
  <si>
    <t xml:space="preserve">Betriebs- und Unternehmensregister (BUR) - Nummer </t>
  </si>
  <si>
    <t>Anerkannte Notfallaufnahme gemäss BFS-Definition in der Krankenhausstatistik</t>
  </si>
  <si>
    <t>- Verfügt das Spital über eine anerkannte Notfallaufnahme (A.06.01.01 nach BFS-Definition)? (Ja/Nein)</t>
  </si>
  <si>
    <t>- Hat das Spital einen Vertrag mit dem Kanton bezüglich einer anerkannten Notfallaufnahme (A.06.02.01 nach BFS-Definition)? (Ja/Nein)</t>
  </si>
  <si>
    <t>Gemeinwirtschaftliche Leistungen</t>
  </si>
  <si>
    <t>Für den stationären Krankenversicherungsbereich</t>
  </si>
  <si>
    <t>Für das gesamte Spital</t>
  </si>
  <si>
    <t>Kosten für univ. Lehre und Forschung</t>
  </si>
  <si>
    <t>Kosten für Überkapazität aus regionalpolitischen Gründen</t>
  </si>
  <si>
    <t>Kosten für übrige gemeinwirtschaftliche Leistungen</t>
  </si>
  <si>
    <t>Folgende Angaben müssen kongruent sein mit der Abgrenzung der Kosten gemäss ITAR_K-Zeile BEBU, Stückrechnung stationär</t>
  </si>
  <si>
    <t>OKP</t>
  </si>
  <si>
    <t xml:space="preserve">Zusatzversicherte </t>
  </si>
  <si>
    <t>Austritte (inkl. Berücksichtigung In-/Outlier und Fallzusammenlegungen)</t>
  </si>
  <si>
    <t>Erlöse für nicht über SwissDRG-Baserate abgerechnete Leistungen (unbewertete DRGs, SVK, Zusatzentgelte, etc.)</t>
  </si>
  <si>
    <t>Paraplegiologische Rehab. ZV KVG</t>
  </si>
  <si>
    <t>Paraplegiologische Rehab. 
ZMT</t>
  </si>
  <si>
    <t>Paraplegiologische Rehab.
ZMT ZV</t>
  </si>
  <si>
    <t>Pädiatrische Rehab. 
ZMT ZV</t>
  </si>
  <si>
    <t>Paraplegiologische Rehab.
rein stat. KVG</t>
  </si>
  <si>
    <t>Paraplegiologische Rehabilitation stationär</t>
  </si>
  <si>
    <t>Psychosomatische Rehab.
rein stat. KVG</t>
  </si>
  <si>
    <t>Psychosomatische Rehab. ZV KVG</t>
  </si>
  <si>
    <t>Psychosomatische Rehab. 
ZMT</t>
  </si>
  <si>
    <t>Psychosomatische Rehab.
ZMT ZV</t>
  </si>
  <si>
    <t>Psychosomatische Rehabilitation stationär</t>
  </si>
  <si>
    <t>Paraplegiologische Rehab. KVG</t>
  </si>
  <si>
    <t>Paraplegiologische Rehab. ZMT</t>
  </si>
  <si>
    <t>Psychosomatische Rehab. KVG</t>
  </si>
  <si>
    <t xml:space="preserve">Pädiatrische Rehab. 
ZMT </t>
  </si>
  <si>
    <t>Integriertes Tarifmodell Kostenträgerrechnung (ITAR-K) CH V5.0</t>
  </si>
  <si>
    <t>Psychosomatische Rehab. ZMT</t>
  </si>
  <si>
    <t>Internistische &amp; Onkologische Rehab. 
ZV KVG</t>
  </si>
  <si>
    <t>Internistische &amp; Onkologische Rehab. 
Rein stat. KVG</t>
  </si>
  <si>
    <t>Internistische &amp; Onkologische Rehab. 
ZMT</t>
  </si>
  <si>
    <t>Internistische &amp; Onkologische Rehab. 
ZMT ZV</t>
  </si>
  <si>
    <t>Erträge 65-Erträge</t>
  </si>
  <si>
    <t>Differenz</t>
  </si>
  <si>
    <t>Anteil Anlagenutzung an Benchmarking-relevante Betriebskosten (BRB) inkl. ANK</t>
  </si>
  <si>
    <t>Kosten für 65-Erträge</t>
  </si>
  <si>
    <t>Berechnung Abzug 65-Erträge (Zelle D22)</t>
  </si>
  <si>
    <t>Abzug in Zelle D22 ITAR_K Gesamtansicht</t>
  </si>
  <si>
    <t>Internistische &amp; Onkologische Rehab. 
KVG</t>
  </si>
  <si>
    <t>Übertrag des Betrages in 
Zelle L29
in ITAR_K Gesamtansicht</t>
  </si>
  <si>
    <t>Übertrag des Betrages in 
Zelle M29 
in ITAR_K Gesamtansicht</t>
  </si>
  <si>
    <t>Übertrag des Betrages in 
Zelle O29 
in ITAR_K Gesamtansicht</t>
  </si>
  <si>
    <t>Übertrag des Betrages in 
Zelle P29
in ITAR_K Gesamtansicht</t>
  </si>
  <si>
    <t>Übertrag des Betrages in 
Zelle Q29 
in ITAR_K Gesamtansicht</t>
  </si>
  <si>
    <r>
      <t>Kostenträger</t>
    </r>
    <r>
      <rPr>
        <b/>
        <sz val="20"/>
        <color indexed="10"/>
        <rFont val="Arial"/>
        <family val="2"/>
      </rPr>
      <t xml:space="preserve">stückrechnung </t>
    </r>
    <r>
      <rPr>
        <b/>
        <sz val="20"/>
        <rFont val="Arial"/>
        <family val="2"/>
      </rPr>
      <t>1.1.-31.12.2014</t>
    </r>
  </si>
  <si>
    <r>
      <rPr>
        <b/>
        <sz val="10"/>
        <rFont val="Arial"/>
        <family val="2"/>
      </rPr>
      <t>Rehab. Stationär Hotellerie Mehrkosten</t>
    </r>
    <r>
      <rPr>
        <sz val="10"/>
        <rFont val="Arial"/>
        <family val="2"/>
      </rPr>
      <t xml:space="preserve"> Zusatzverischerte</t>
    </r>
  </si>
  <si>
    <r>
      <rPr>
        <b/>
        <sz val="10"/>
        <rFont val="Arial"/>
        <family val="2"/>
      </rPr>
      <t>Psychiatrie Stationär Hotellerie Mehrkosten</t>
    </r>
    <r>
      <rPr>
        <sz val="10"/>
        <rFont val="Arial"/>
        <family val="2"/>
      </rPr>
      <t xml:space="preserve"> Zusatzverischerte</t>
    </r>
  </si>
  <si>
    <r>
      <rPr>
        <b/>
        <sz val="10"/>
        <rFont val="Arial"/>
        <family val="2"/>
      </rPr>
      <t>Swiss DRG Hotellerie Mehrkosten</t>
    </r>
    <r>
      <rPr>
        <sz val="10"/>
        <rFont val="Arial"/>
        <family val="2"/>
      </rPr>
      <t xml:space="preserve"> Zusatzverischerte</t>
    </r>
  </si>
  <si>
    <t>Internistische &amp; Onkologische Rehabilitation stationär</t>
  </si>
  <si>
    <t>VKL</t>
  </si>
  <si>
    <r>
      <t xml:space="preserve">Betriebene Betten stationärer Bereich - </t>
    </r>
    <r>
      <rPr>
        <b/>
        <sz val="10"/>
        <color rgb="FFFF0000"/>
        <rFont val="Arial"/>
        <family val="2"/>
      </rPr>
      <t>muss der Angabe in der admin. BFS-Statistik entsprechen!</t>
    </r>
    <r>
      <rPr>
        <b/>
        <sz val="10"/>
        <rFont val="Arial"/>
        <family val="2"/>
      </rPr>
      <t xml:space="preserve">
</t>
    </r>
    <r>
      <rPr>
        <b/>
        <sz val="8"/>
        <rFont val="Arial"/>
        <family val="2"/>
      </rPr>
      <t>(ohne Psychiatrie und Langzeitpflege, falls diese in sep. Tarifen abgegolten werden)</t>
    </r>
  </si>
  <si>
    <t>Baserates 2016</t>
  </si>
  <si>
    <t>Angaben des Jahres 2014, falls abweichend bitte das Jahr angeben.</t>
  </si>
  <si>
    <t>Forschung und universitäre Lehre (nur bezogen auf Aufträge der Forschung und universitären Lehre)</t>
  </si>
  <si>
    <t>% der Besoldungen</t>
  </si>
  <si>
    <t>Spitalträger (bei AG gem. Aktienmehrheit)</t>
  </si>
  <si>
    <t>CH38 + CE38</t>
  </si>
  <si>
    <t>CH70 + CE70</t>
  </si>
  <si>
    <t>CH71 + CE71</t>
  </si>
  <si>
    <t>R38 + BF38+ BS38</t>
  </si>
  <si>
    <t>R70 + BF70 + BS70</t>
  </si>
  <si>
    <t>R71 + BF71 + BS71</t>
  </si>
  <si>
    <t>BT38</t>
  </si>
  <si>
    <t>BT70</t>
  </si>
  <si>
    <t>BT71</t>
  </si>
  <si>
    <t>I38 + S38 + W38 + AA38 + AE38 + AI38 + AM38 +AQ38 + AU38 + AY38 + BG38 + BL38</t>
  </si>
  <si>
    <t>I70 + S70 + W70 + AA70 + AE70 + AI70 + AM70 +AQ70 + AU70 + AY70 + BG70 + BL70</t>
  </si>
  <si>
    <t>I71 + S71 + W71 + AA71 + AE71 + AI71 + AM71 +AQ71 + AU71 + AY71 + BG71 + BL71</t>
  </si>
  <si>
    <t xml:space="preserve"> CH20 + CE20</t>
  </si>
  <si>
    <t>R20 + BF20 + BS20</t>
  </si>
  <si>
    <t>BT20</t>
  </si>
  <si>
    <t>L38 + U38 + Y38 + AC38 + AG38 + AK38 + AO38 + AS38 + AW38 + BA38 + BI38 + BN38</t>
  </si>
  <si>
    <t>L70 + U70 + Y70 + AC70 + AG70 + AK70 + AO70 + AS70 + AW70 + BA70 + BI70 + BN39</t>
  </si>
  <si>
    <t>L71 + U71 + Y71 + AC71 + AG71 + AK71 + AO71 + AS71 + AW71 + BA71 + BI71 + BN40</t>
  </si>
  <si>
    <t>CF71 + CG71</t>
  </si>
  <si>
    <t>Abzug der UV-Zinsen, sofern nicht nach Methode PUE</t>
  </si>
  <si>
    <t>Sind die UV-Zinsen in der Kostenrechnung nach Methode PUE ermittelt</t>
  </si>
  <si>
    <t>Anz. Fakt. TP inkl. Abgrenzung</t>
  </si>
  <si>
    <t>Allenfalls normativer Zuschlag für kalkulatorische Zinsen auf Umlaufvermögen gemäss Methode PUE</t>
  </si>
  <si>
    <t>Anteil auf Zeile 44</t>
  </si>
  <si>
    <t>Anteil auf Zeile 52</t>
  </si>
  <si>
    <t>D15 + E16 + G19 + H19</t>
  </si>
  <si>
    <t>E17 + G19 + H19</t>
  </si>
  <si>
    <t>Institutionsbezogener Abzug für Hotellerie-Mehrkosten für ZV-Patienten 
Ermittlung der prozentualen Abzüge (ITAR_K Gesamtsicht/ Zeile 67)</t>
  </si>
  <si>
    <r>
      <rPr>
        <b/>
        <sz val="9"/>
        <rFont val="Arial"/>
        <family val="2"/>
      </rPr>
      <t>Total in CHF</t>
    </r>
    <r>
      <rPr>
        <sz val="9"/>
        <rFont val="Arial"/>
        <family val="2"/>
      </rPr>
      <t xml:space="preserve"> (Übertrag des Wertes in Zelle E63 in ITAR_K Gesamtansicht)</t>
    </r>
  </si>
  <si>
    <t>Übertrag des Prozentwertes in 
Zelle J67
in ITAR_K Gesamtansicht</t>
  </si>
  <si>
    <t>Übertrag des Prozentwertes in
Zelle M67
in ITAR_K Gesamtansicht</t>
  </si>
  <si>
    <t>Übertrag des Prozentwertes in 
Zelle Q67
in ITAR_K Gesamtansicht</t>
  </si>
  <si>
    <t>Übertrag des Prozentwertes in 
Zelle T67
in ITAR_K Gesamtansicht</t>
  </si>
  <si>
    <t>Übertrag des Prozentwertes in
Zelle V67
in ITAR_K Gesamtansicht</t>
  </si>
  <si>
    <t>Übertrag des Prozentwertes in 
Zelle X67 
in ITAR_K Gesamtansicht</t>
  </si>
  <si>
    <t>Übertrag des Prozentwertes in
Zelle Z67
in ITAR_K Gesamtansicht</t>
  </si>
  <si>
    <t>Übertrag des Prozentwertes in 
Zelle AB67 
in ITAR_K Gesamtansicht</t>
  </si>
  <si>
    <t>Übertrag des Prozentwertes in
Zelle AD67 
in ITAR_K Gesamtansicht</t>
  </si>
  <si>
    <t>Übertrag des Prozentwertes in
Zelle AF67 
in ITAR_K Gesamtansicht</t>
  </si>
  <si>
    <t>Übertrag des Prozentwertes in 
Zelle AH67 
in ITAR_K Gesamtansicht</t>
  </si>
  <si>
    <t>Übertrag des Prozentwertes in
Zelle AJ67 
in ITAR_K Gesamtansicht</t>
  </si>
  <si>
    <t>Übertrag des Prozentwertes in 
Zelle AL67 
in ITAR_K Gesamtansicht</t>
  </si>
  <si>
    <t>Übertrag des Prozentwertes in
Zelle AN67 
in ITAR_K Gesamtansicht</t>
  </si>
  <si>
    <t>Übertrag des Prozentwertes in
Zelle AP67 
in ITAR_K Gesamtansicht</t>
  </si>
  <si>
    <t>Übertrag des Prozentwertes in
Zelle AR67 
in ITAR_K Gesamtansicht</t>
  </si>
  <si>
    <t>Übertrag des Prozentwertes in
Zelle AT67 
in ITAR_K Gesamtansicht</t>
  </si>
  <si>
    <t>Übertrag des Prozentwertes in
Zelle AV67 
in ITAR_K Gesamtansicht</t>
  </si>
  <si>
    <t>Übertrag des Prozentwertes in
Zelle AX67 
in ITAR_K Gesamtansicht</t>
  </si>
  <si>
    <t>Übertrag des Prozentwertes in
Zelle AZ67 
in ITAR_K Gesamtansicht</t>
  </si>
  <si>
    <t>Übertrag des Prozentwertes in
Zelle AB67 
in ITAR_K Gesamtansicht</t>
  </si>
  <si>
    <t>Übertrag des Prozentwertes in
Zelle BE67 
in ITAR_K Gesamtansicht</t>
  </si>
  <si>
    <t>Übertrag des Prozentwertes in 
Zelle BH67 
in ITAR_K Gesamtansicht</t>
  </si>
  <si>
    <t>Übertrag des Prozentwertes in
Zelle BJ67 
in ITAR_K Gesamtansicht</t>
  </si>
  <si>
    <t>Übertrag des Prozentwertes in 
Zelle BL67 
in ITAR_K Gesamtansicht</t>
  </si>
  <si>
    <t>Übertrag des Prozentwertes in
Zelle BR67
in ITAR_K Gesamtansicht</t>
  </si>
  <si>
    <t>Übertrag des Prozentwertes in
Zelle BO67
in ITAR_K Gesamtansicht</t>
  </si>
  <si>
    <t>Übrige Spitaleinzelleistungen</t>
  </si>
  <si>
    <r>
      <t>Total in CHF</t>
    </r>
    <r>
      <rPr>
        <sz val="10"/>
        <rFont val="Arial"/>
        <family val="2"/>
      </rPr>
      <t xml:space="preserve"> (= Zelle E71, ITAR_K Gesamtansicht)</t>
    </r>
  </si>
  <si>
    <r>
      <t xml:space="preserve">Total in CHF </t>
    </r>
    <r>
      <rPr>
        <sz val="10"/>
        <rFont val="Arial"/>
        <family val="2"/>
      </rPr>
      <t>(= Zelle E72, ITAR_K Gesamtansicht)</t>
    </r>
  </si>
  <si>
    <t>Basisfallwert 2015 bzw. massgebende Kosten je Leist.einheit, exkl. ANK</t>
  </si>
  <si>
    <t>ZE-2014-01</t>
  </si>
  <si>
    <t>ZE-2014-02.01</t>
  </si>
  <si>
    <r>
      <t xml:space="preserve">ZE-2014-02 </t>
    </r>
    <r>
      <rPr>
        <b/>
        <vertAlign val="superscript"/>
        <sz val="9"/>
        <rFont val="Arial"/>
        <family val="2"/>
      </rPr>
      <t>2</t>
    </r>
  </si>
  <si>
    <t>ZE-2014-02.02</t>
  </si>
  <si>
    <t>ZE-2014-02.03</t>
  </si>
  <si>
    <t>ZE-2014-02.04</t>
  </si>
  <si>
    <t>ZE-2014-02.05</t>
  </si>
  <si>
    <t>ZE-2014-02.06</t>
  </si>
  <si>
    <t>ZE-2014-03.01</t>
  </si>
  <si>
    <t>ZE-2014-03.02</t>
  </si>
  <si>
    <t>ZE-2014-03.03</t>
  </si>
  <si>
    <t>ZE-2014-03.04</t>
  </si>
  <si>
    <t>ZE-2014-03.05</t>
  </si>
  <si>
    <t>ZE-2014-03.06</t>
  </si>
  <si>
    <r>
      <t xml:space="preserve">ZE-2014-03 </t>
    </r>
    <r>
      <rPr>
        <b/>
        <vertAlign val="superscript"/>
        <sz val="9"/>
        <rFont val="Arial"/>
        <family val="2"/>
      </rPr>
      <t>2</t>
    </r>
  </si>
  <si>
    <t>Human-Immunglobulin gegen Zytomegalovirus, parenteral</t>
  </si>
  <si>
    <t>ZE-2014-06.01</t>
  </si>
  <si>
    <t>ZE-2014-06.02</t>
  </si>
  <si>
    <t>ZE-2014-06.03</t>
  </si>
  <si>
    <t>ZE-2014-06.04</t>
  </si>
  <si>
    <t>ZE-2014-06.05</t>
  </si>
  <si>
    <t>ZE-2014-06.06</t>
  </si>
  <si>
    <t>ZE-2014-06.07</t>
  </si>
  <si>
    <t>ZE-2014-06.08</t>
  </si>
  <si>
    <t>ZE-2014-06.09</t>
  </si>
  <si>
    <t>ZE-2014-06.10</t>
  </si>
  <si>
    <t>ZE-2014-06.11</t>
  </si>
  <si>
    <t>ZE-2014-06.12</t>
  </si>
  <si>
    <t>ZE-2014-06.13</t>
  </si>
  <si>
    <t>ZE-2014-06.14</t>
  </si>
  <si>
    <t>ZE-2014-06.15</t>
  </si>
  <si>
    <t>ZE-2014-07.01</t>
  </si>
  <si>
    <t>ZE-2014-07.02</t>
  </si>
  <si>
    <t>ZE-2014-07.03</t>
  </si>
  <si>
    <t>ZE-2014-07.04</t>
  </si>
  <si>
    <t>ZE-2014-07.05</t>
  </si>
  <si>
    <t>ZE-2014-07.06</t>
  </si>
  <si>
    <t>ZE-2014-07.07</t>
  </si>
  <si>
    <t>ZE-2014-07.08</t>
  </si>
  <si>
    <t>ZE-2014-07.09</t>
  </si>
  <si>
    <t>ZE-2014-07.10</t>
  </si>
  <si>
    <t>ZE-2014-07.11</t>
  </si>
  <si>
    <t>ZE-2014-07.12</t>
  </si>
  <si>
    <t>ZE-2014-07.13</t>
  </si>
  <si>
    <t>ZE-2014-07.14</t>
  </si>
  <si>
    <t>ZE-2014-07.15</t>
  </si>
  <si>
    <t>ZE-2014-07.16</t>
  </si>
  <si>
    <t>ZE-2014-07.17</t>
  </si>
  <si>
    <t>ZE-2014-07.18</t>
  </si>
  <si>
    <t>ZE-2014-07.19</t>
  </si>
  <si>
    <t>ZE-2014-08.01</t>
  </si>
  <si>
    <t>ZE-2014-08.02</t>
  </si>
  <si>
    <t>ZE-2014-08.03</t>
  </si>
  <si>
    <t>ZE-2014-08.04</t>
  </si>
  <si>
    <t>ZE-2014-08.05</t>
  </si>
  <si>
    <t>ZE-2014-08.06</t>
  </si>
  <si>
    <t>ZE-2014-08.07</t>
  </si>
  <si>
    <t>ZE-2014-08.08</t>
  </si>
  <si>
    <t>ZE-2014-08.09</t>
  </si>
  <si>
    <t>ZE-2014-08.10</t>
  </si>
  <si>
    <t>ZE-2014-08.11</t>
  </si>
  <si>
    <t>ZE-2014-08.12</t>
  </si>
  <si>
    <t>ZE-2014-08.13</t>
  </si>
  <si>
    <t>ZE-2014-08.14</t>
  </si>
  <si>
    <t>ZE-2014-08.15</t>
  </si>
  <si>
    <t>ZE-2014-08.16</t>
  </si>
  <si>
    <t>ZE-2014-08.17</t>
  </si>
  <si>
    <t>ZE-2014-08.18</t>
  </si>
  <si>
    <t>ZE-2014-08.19</t>
  </si>
  <si>
    <t>ZE-2014-09.01</t>
  </si>
  <si>
    <t>ZE-2014-09.02</t>
  </si>
  <si>
    <t>ZE-2014-09.03</t>
  </si>
  <si>
    <t>ZE-2014-09.04</t>
  </si>
  <si>
    <t>ZE-2014-09.05</t>
  </si>
  <si>
    <t>ZE-2014-09.06</t>
  </si>
  <si>
    <t>ZE-2014-09.07</t>
  </si>
  <si>
    <t>ZE-2014-09.08</t>
  </si>
  <si>
    <t>ZE-2014-09.09</t>
  </si>
  <si>
    <t>ZE-2014-09.10</t>
  </si>
  <si>
    <t>ZE-2014-09.11</t>
  </si>
  <si>
    <t>ZE-2014-09.12</t>
  </si>
  <si>
    <t>ZE-2014-09.13</t>
  </si>
  <si>
    <t>ZE-2014-09.14</t>
  </si>
  <si>
    <t>ZE-2014-09.15</t>
  </si>
  <si>
    <t>ZE-2014-09.16</t>
  </si>
  <si>
    <t>ZE-2014-10.01</t>
  </si>
  <si>
    <t>ZE-2014-10.02</t>
  </si>
  <si>
    <t>ZE-2014-10.03</t>
  </si>
  <si>
    <t>ZE-2014-10.04</t>
  </si>
  <si>
    <t>ZE-2014-10.05</t>
  </si>
  <si>
    <t>ZE-2014-10.06</t>
  </si>
  <si>
    <t>ZE-2014-10.07</t>
  </si>
  <si>
    <t>ZE-2014-10.08</t>
  </si>
  <si>
    <t>ZE-2014-10.09</t>
  </si>
  <si>
    <t>ZE-2014-10.10</t>
  </si>
  <si>
    <t>ZE-2014-10.11</t>
  </si>
  <si>
    <t>ZE-2014-10.12</t>
  </si>
  <si>
    <t>ZE-2014-10.13</t>
  </si>
  <si>
    <t>ZE-2014-10.14</t>
  </si>
  <si>
    <t>ZE-2014-10.15</t>
  </si>
  <si>
    <t>ZE-2014-10.16</t>
  </si>
  <si>
    <t>ZE-2014-10.17</t>
  </si>
  <si>
    <t>ZE-2014-11.01</t>
  </si>
  <si>
    <t>ZE-2014-11.02</t>
  </si>
  <si>
    <t>ZE-2014-11.03</t>
  </si>
  <si>
    <t>ZE-2014-11.04</t>
  </si>
  <si>
    <t>ZE-2014-11.05</t>
  </si>
  <si>
    <t>ZE-2014-11.06</t>
  </si>
  <si>
    <t>ZE-2014-11.07</t>
  </si>
  <si>
    <t>ZE-2014-11.08</t>
  </si>
  <si>
    <t>ZE-2014-11.09</t>
  </si>
  <si>
    <t>ZE-2014-11.10</t>
  </si>
  <si>
    <t>ZE-2014-11.11</t>
  </si>
  <si>
    <t>ZE-2014-11.12</t>
  </si>
  <si>
    <t>ZE-2014-11.13</t>
  </si>
  <si>
    <t>ZE-2014-11.14</t>
  </si>
  <si>
    <t>ZE-2014-11.15</t>
  </si>
  <si>
    <t>ZE-2014-11.16</t>
  </si>
  <si>
    <t>ZE-2014-12.01</t>
  </si>
  <si>
    <t>ZE-2014-12.02</t>
  </si>
  <si>
    <t>ZE-2014-12.03</t>
  </si>
  <si>
    <t>ZE-2014-12.04</t>
  </si>
  <si>
    <t>ZE-2014-12.05</t>
  </si>
  <si>
    <t>ZE-2014-12.06</t>
  </si>
  <si>
    <t>ZE-2014-12.07</t>
  </si>
  <si>
    <t>ZE-2014-12.08</t>
  </si>
  <si>
    <t>ZE-2014-12.09</t>
  </si>
  <si>
    <t>ZE-2014-12.10</t>
  </si>
  <si>
    <t>ZE-2014-12.11</t>
  </si>
  <si>
    <t>ZE-2014-12.12</t>
  </si>
  <si>
    <t>ZE-2014-12.13</t>
  </si>
  <si>
    <t>ZE-2014-12.14</t>
  </si>
  <si>
    <t>ZE-2014-12.15</t>
  </si>
  <si>
    <t>ZE-2014-12.16</t>
  </si>
  <si>
    <t>ZE-2014-12.17</t>
  </si>
  <si>
    <t>ZE-2014-12.18</t>
  </si>
  <si>
    <t>ZE-2014-12.19</t>
  </si>
  <si>
    <t>ZE-2014-12.20</t>
  </si>
  <si>
    <t>ZE-2014-13.01</t>
  </si>
  <si>
    <t>ZE-2014-13.02</t>
  </si>
  <si>
    <t>ZE-2014-13.03</t>
  </si>
  <si>
    <t>ZE-2014-13.04</t>
  </si>
  <si>
    <t>ZE-2014-13.05</t>
  </si>
  <si>
    <t>ZE-2014-13.06</t>
  </si>
  <si>
    <t>ZE-2014-13.07</t>
  </si>
  <si>
    <t>ZE-2014-13.08</t>
  </si>
  <si>
    <t>ZE-2014-13.09</t>
  </si>
  <si>
    <t>ZE-2014-13.10</t>
  </si>
  <si>
    <t>ZE-2014-13.11</t>
  </si>
  <si>
    <t>ZE-2014-13.12</t>
  </si>
  <si>
    <t>ZE-2014-13.13</t>
  </si>
  <si>
    <t>ZE-2014-13.14</t>
  </si>
  <si>
    <t>ZE-2014-13.15</t>
  </si>
  <si>
    <t>ZE-2014-13.16</t>
  </si>
  <si>
    <t>ZE-2014-13.17</t>
  </si>
  <si>
    <t>ZE-2014-13.18</t>
  </si>
  <si>
    <t>ZE-2014-13.19</t>
  </si>
  <si>
    <t>ZE-2014-13.20</t>
  </si>
  <si>
    <t>ZE-2014-13.21</t>
  </si>
  <si>
    <t>ZE-2014-13.22</t>
  </si>
  <si>
    <t>ZE-2014-13.23</t>
  </si>
  <si>
    <t>ZE-2014-13.24</t>
  </si>
  <si>
    <t>ZE-2014-13.25</t>
  </si>
  <si>
    <t>ZE-2014-13.26</t>
  </si>
  <si>
    <t>ZE-2014-13.27</t>
  </si>
  <si>
    <t>ZE-2014-13.28</t>
  </si>
  <si>
    <t>ZE-2014-13.29</t>
  </si>
  <si>
    <t>ZE-2014-14.01</t>
  </si>
  <si>
    <t>ZE-2014-14.02</t>
  </si>
  <si>
    <t>ZE-2014-14.03</t>
  </si>
  <si>
    <t>ZE-2014-14.04</t>
  </si>
  <si>
    <t>ZE-2014-14.05</t>
  </si>
  <si>
    <t>ZE-2014-14.06</t>
  </si>
  <si>
    <t>ZE-2014-14.07</t>
  </si>
  <si>
    <t>ZE-2014-14.08</t>
  </si>
  <si>
    <t>ZE-2014-14.09</t>
  </si>
  <si>
    <t>ZE-2014-14.10</t>
  </si>
  <si>
    <t>ZE-2014-14.11</t>
  </si>
  <si>
    <t>ZE-2014-14.12</t>
  </si>
  <si>
    <t>ZE-2014-14.13</t>
  </si>
  <si>
    <t>ZE-2014-14.14</t>
  </si>
  <si>
    <t>ZE-2014-14.15</t>
  </si>
  <si>
    <t>ZE-2014-14.16</t>
  </si>
  <si>
    <t>ZE-2014-14.17</t>
  </si>
  <si>
    <t>ZE-2014-14.18</t>
  </si>
  <si>
    <t>ZE-2014-14.19</t>
  </si>
  <si>
    <t>ZE-2014-14.20</t>
  </si>
  <si>
    <t>ZE-2014-14.21</t>
  </si>
  <si>
    <t>ZE-2014-14.22</t>
  </si>
  <si>
    <t>ZE-2014-14.23</t>
  </si>
  <si>
    <t>ZE-2014-14.24</t>
  </si>
  <si>
    <t>ZE-2014-14.25</t>
  </si>
  <si>
    <t>ZE-2014-14.26</t>
  </si>
  <si>
    <t>ZE-2014-14.27</t>
  </si>
  <si>
    <t>ZE-2014-14.28</t>
  </si>
  <si>
    <t>ZE-2014-14.29</t>
  </si>
  <si>
    <t>ZE-2014-15.01</t>
  </si>
  <si>
    <t>ZE-2014-15.02</t>
  </si>
  <si>
    <t>ZE-2014-15.03</t>
  </si>
  <si>
    <t>ZE-2014-15.04</t>
  </si>
  <si>
    <t>ZE-2014-15.05</t>
  </si>
  <si>
    <t>ZE-2014-15.06</t>
  </si>
  <si>
    <t>ZE-2014-15.07</t>
  </si>
  <si>
    <t>ZE-2014-15.08</t>
  </si>
  <si>
    <t>ZE-2014-15.09</t>
  </si>
  <si>
    <t>ZE-2014-15.10</t>
  </si>
  <si>
    <t>ZE-2014-15.11</t>
  </si>
  <si>
    <t>ZE-2014-15.12</t>
  </si>
  <si>
    <t>ZE-2014-15.13</t>
  </si>
  <si>
    <t>ZE-2014-15.14</t>
  </si>
  <si>
    <t>ZE-2014-15.15</t>
  </si>
  <si>
    <t>ZE-2014-16.01</t>
  </si>
  <si>
    <t>ZE-2014-16.02</t>
  </si>
  <si>
    <t>ZE-2014-16.03</t>
  </si>
  <si>
    <t>ZE-2014-16.04</t>
  </si>
  <si>
    <t>ZE-2014-16.05</t>
  </si>
  <si>
    <t>ZE-2014-16.06</t>
  </si>
  <si>
    <t>ZE-2014-16.07</t>
  </si>
  <si>
    <t>ZE-2014-16.08</t>
  </si>
  <si>
    <t>ZE-2014-16.09</t>
  </si>
  <si>
    <t>ZE-2014-16.10</t>
  </si>
  <si>
    <t>ZE-2014-16.11</t>
  </si>
  <si>
    <t>ZE-2014-16.12</t>
  </si>
  <si>
    <t>ZE-2014-16.13</t>
  </si>
  <si>
    <t>ZE-2014-16.14</t>
  </si>
  <si>
    <t>ZE-2014-16.15</t>
  </si>
  <si>
    <t>ZE-2014-16.16</t>
  </si>
  <si>
    <t>ZE-2014-16.17</t>
  </si>
  <si>
    <t>ZE-2014-16.18</t>
  </si>
  <si>
    <t>ZE-2014-16.19</t>
  </si>
  <si>
    <t>ZE-2014-16.20</t>
  </si>
  <si>
    <t>ZE-2014-16.21</t>
  </si>
  <si>
    <t>ZE-2014-16.22</t>
  </si>
  <si>
    <t>ZE-2014-16.23</t>
  </si>
  <si>
    <t>ZE-2014-16.24</t>
  </si>
  <si>
    <t>ZE-2014-16.25</t>
  </si>
  <si>
    <t>ZE-2014-16.26</t>
  </si>
  <si>
    <t>ZE-2014-16.27</t>
  </si>
  <si>
    <t>ZE-2014-17.01</t>
  </si>
  <si>
    <t>ZE-2014-17.02</t>
  </si>
  <si>
    <t>ZE-2014-17.03</t>
  </si>
  <si>
    <t>ZE-2014-17.04</t>
  </si>
  <si>
    <t>ZE-2014-17.05</t>
  </si>
  <si>
    <t>ZE-2014-17.06</t>
  </si>
  <si>
    <t>ZE-2014-17.07</t>
  </si>
  <si>
    <t>ZE-2014-17.08</t>
  </si>
  <si>
    <t>ZE-2014-17.09</t>
  </si>
  <si>
    <t>ZE-2014-17.10</t>
  </si>
  <si>
    <t>ZE-2014-17.11</t>
  </si>
  <si>
    <t>ZE-2014-17.12</t>
  </si>
  <si>
    <t>ZE-2014-17.13</t>
  </si>
  <si>
    <t>ZE-2014-17.14</t>
  </si>
  <si>
    <t>ZE-2014-17.15</t>
  </si>
  <si>
    <t>ZE-2014-17.16</t>
  </si>
  <si>
    <t>ZE-2014-17.17</t>
  </si>
  <si>
    <t>ZE-2014-17.18</t>
  </si>
  <si>
    <t>ZE-2014-17.19</t>
  </si>
  <si>
    <t>ZE-2014-17.20</t>
  </si>
  <si>
    <t>ZE-2014-17.21</t>
  </si>
  <si>
    <t>ZE-2014-17.22</t>
  </si>
  <si>
    <t>ZE-2014-17.23</t>
  </si>
  <si>
    <t>ZE-2014-18.01</t>
  </si>
  <si>
    <t>ZE-2014-18.02</t>
  </si>
  <si>
    <t>ZE-2014-18.03</t>
  </si>
  <si>
    <t>ZE-2014-18.04</t>
  </si>
  <si>
    <t>ZE-2014-18.05</t>
  </si>
  <si>
    <t>ZE-2014-18.06</t>
  </si>
  <si>
    <t>ZE-2014-18.07</t>
  </si>
  <si>
    <t>ZE-2014-18.08</t>
  </si>
  <si>
    <t>ZE-2014-18.09</t>
  </si>
  <si>
    <t>ZE-2014-18.10</t>
  </si>
  <si>
    <t>ZE-2014-18.11</t>
  </si>
  <si>
    <t>ZE-2014-18.12</t>
  </si>
  <si>
    <t>ZE-2014-18.13</t>
  </si>
  <si>
    <t>ZE-2014-18.14</t>
  </si>
  <si>
    <t>ZE-2014-18.15</t>
  </si>
  <si>
    <t>ZE-2014-18.16</t>
  </si>
  <si>
    <t>ZE-2014-18.17</t>
  </si>
  <si>
    <t>ZE-2014-18.18</t>
  </si>
  <si>
    <t>ZE-2014-18.19</t>
  </si>
  <si>
    <t>ZE-2014-18.20</t>
  </si>
  <si>
    <t>ZE-2014-18.21</t>
  </si>
  <si>
    <t>ZE-2014-18.22</t>
  </si>
  <si>
    <t>ZE-2014-18.23</t>
  </si>
  <si>
    <t>ZE-2014-18.24</t>
  </si>
  <si>
    <t>ZE-2014-18.25</t>
  </si>
  <si>
    <t>ZE-2014-18.26</t>
  </si>
  <si>
    <t>ZE-2014-18.27</t>
  </si>
  <si>
    <t>ZE-2014-19.01</t>
  </si>
  <si>
    <t>ZE-2014-19.02</t>
  </si>
  <si>
    <t>ZE-2014-19.03</t>
  </si>
  <si>
    <t>ZE-2014-19.04</t>
  </si>
  <si>
    <t>ZE-2014-19.05</t>
  </si>
  <si>
    <t>ZE-2014-19.06</t>
  </si>
  <si>
    <t>ZE-2014-19.07</t>
  </si>
  <si>
    <t>ZE-2014-19.08</t>
  </si>
  <si>
    <t>ZE-2014-19.09</t>
  </si>
  <si>
    <t>ZE-2014-19.10</t>
  </si>
  <si>
    <t>ZE-2014-19.11</t>
  </si>
  <si>
    <t>ZE-2014-19.12</t>
  </si>
  <si>
    <t>ZE-2014-19.13</t>
  </si>
  <si>
    <t>ZE-2014-19.14</t>
  </si>
  <si>
    <t>ZE-2014-19.15</t>
  </si>
  <si>
    <t>ZE-2014-19.16</t>
  </si>
  <si>
    <t>ZE-2014-19.17</t>
  </si>
  <si>
    <t xml:space="preserve">ZE-2014-20 </t>
  </si>
  <si>
    <t>ZE-2014-20.01</t>
  </si>
  <si>
    <t>ZE-2014-20.02</t>
  </si>
  <si>
    <t>ZE-2014-20.03</t>
  </si>
  <si>
    <t>ZE-2014-20.04</t>
  </si>
  <si>
    <t>ZE-2014-20.05</t>
  </si>
  <si>
    <t>ZE-2014-20.06</t>
  </si>
  <si>
    <t>ZE-2014-20.07</t>
  </si>
  <si>
    <t>ZE-2014-20.08</t>
  </si>
  <si>
    <t>ZE-2014-20.09</t>
  </si>
  <si>
    <t>ZE-2014-20.10</t>
  </si>
  <si>
    <t>ZE-2014-20.11</t>
  </si>
  <si>
    <t>ZE-2014-20.12</t>
  </si>
  <si>
    <t>ZE-2014-20.13</t>
  </si>
  <si>
    <t>ZE-2014-20.14</t>
  </si>
  <si>
    <t>ZE-2014-20.15</t>
  </si>
  <si>
    <t>ZE-2014-20.16</t>
  </si>
  <si>
    <t>ZE-2014-20.17</t>
  </si>
  <si>
    <t>ZE-2014-20.18</t>
  </si>
  <si>
    <t>ZE-2014-20.19</t>
  </si>
  <si>
    <t>ZE-2014-20.20</t>
  </si>
  <si>
    <t>ZE-2014-20.21</t>
  </si>
  <si>
    <t>ZE-2014-20.22</t>
  </si>
  <si>
    <t>ZE-2014-20.23</t>
  </si>
  <si>
    <t>ZE-2014-20.24</t>
  </si>
  <si>
    <t>ZE-2014-21</t>
  </si>
  <si>
    <t>ZE-2014-21.01</t>
  </si>
  <si>
    <t>ZE-2014-21.02</t>
  </si>
  <si>
    <t>ZE-2014-21.03</t>
  </si>
  <si>
    <t>ZE-2014-21.04</t>
  </si>
  <si>
    <t>ZE-2014-21.05</t>
  </si>
  <si>
    <t>ZE-2014-21.06</t>
  </si>
  <si>
    <t>ZE-2014-21.07</t>
  </si>
  <si>
    <t>ZE-2014-21.08</t>
  </si>
  <si>
    <t>ZE-2014-21.09</t>
  </si>
  <si>
    <t>ZE-2014-21.10</t>
  </si>
  <si>
    <t>ZE-2014-21.11</t>
  </si>
  <si>
    <t>ZE-2014-21.12</t>
  </si>
  <si>
    <t>ZE-2014-21.13</t>
  </si>
  <si>
    <t>ZE-2014-21.14</t>
  </si>
  <si>
    <t>ZE-2014-21.15</t>
  </si>
  <si>
    <t>ZE-2014-21.16</t>
  </si>
  <si>
    <t>ZE-2014-21.17</t>
  </si>
  <si>
    <t>ZE-2014-21.18</t>
  </si>
  <si>
    <t>ZE-2014-21.19</t>
  </si>
  <si>
    <t>ZE-2014-21.20</t>
  </si>
  <si>
    <t>ZE-2014-21.21</t>
  </si>
  <si>
    <t>ZE-2014-21.22</t>
  </si>
  <si>
    <t>ZE-2014-21.23</t>
  </si>
  <si>
    <t>ZE-2014-21.24</t>
  </si>
  <si>
    <t>ZE-2014-21.25</t>
  </si>
  <si>
    <t>ZE-2014-21.26</t>
  </si>
  <si>
    <t>ZE-2014-21.27</t>
  </si>
  <si>
    <t>ZE-2014-22</t>
  </si>
  <si>
    <t>ZE-2014-22.01</t>
  </si>
  <si>
    <t>ZE-2014-22.02</t>
  </si>
  <si>
    <t>ZE-2014-22.03</t>
  </si>
  <si>
    <t>ZE-2014-22.04</t>
  </si>
  <si>
    <t>ZE-2014-22.05</t>
  </si>
  <si>
    <t>ZE-2014-22.06</t>
  </si>
  <si>
    <t>ZE-2014-22.07</t>
  </si>
  <si>
    <t>ZE-2014-22.08</t>
  </si>
  <si>
    <t>ZE-2014-22.09</t>
  </si>
  <si>
    <t>ZE-2014-22.10</t>
  </si>
  <si>
    <t>ZE-2014-22.11</t>
  </si>
  <si>
    <t>ZE-2014-22.12</t>
  </si>
  <si>
    <t>ZE-2014-22.13</t>
  </si>
  <si>
    <t>ZE-2014-22.14</t>
  </si>
  <si>
    <t>ZE-2014-22.15</t>
  </si>
  <si>
    <t>ZE-2014-22.16</t>
  </si>
  <si>
    <t>ZE-2014-22.17</t>
  </si>
  <si>
    <t>ZE-2014-22.18</t>
  </si>
  <si>
    <t>ZE-2014-22.19</t>
  </si>
  <si>
    <t>ZE-2014-22.20</t>
  </si>
  <si>
    <t>ZE-2014-22.21</t>
  </si>
  <si>
    <t>ZE-2014-22.22</t>
  </si>
  <si>
    <t>ZE-2014-22.23</t>
  </si>
  <si>
    <t>ZE-2014-22.24</t>
  </si>
  <si>
    <t>ZE-2014-22.25</t>
  </si>
  <si>
    <t>ZE-2014-22.26</t>
  </si>
  <si>
    <t>ZE-2014-22.27</t>
  </si>
  <si>
    <t>ZE-2014-23</t>
  </si>
  <si>
    <t>ZE-2014-23.01</t>
  </si>
  <si>
    <t>ZE-2014-23.02</t>
  </si>
  <si>
    <t>ZE-2014-23.03</t>
  </si>
  <si>
    <t>ZE-2014-23.04</t>
  </si>
  <si>
    <t>ZE-2014-23.05</t>
  </si>
  <si>
    <t>ZE-2014-23.06</t>
  </si>
  <si>
    <t>ZE-2014-23.07</t>
  </si>
  <si>
    <t>ZE-2014-23.08</t>
  </si>
  <si>
    <t>ZE-2014-23.09</t>
  </si>
  <si>
    <t>ZE-2014-23.10</t>
  </si>
  <si>
    <t>ZE-2014-23.11</t>
  </si>
  <si>
    <t>ZE-2014-23.12</t>
  </si>
  <si>
    <t>ZE-2014-23.13</t>
  </si>
  <si>
    <t>ZE-2014-23.14</t>
  </si>
  <si>
    <t>ZE-2014-23.15</t>
  </si>
  <si>
    <t>ZE-2014-23.16</t>
  </si>
  <si>
    <t>ZE-2014-23.17</t>
  </si>
  <si>
    <t>ZE-2014-23.18</t>
  </si>
  <si>
    <t>ZE-2014-23.19</t>
  </si>
  <si>
    <t>ZE-2014-23.20</t>
  </si>
  <si>
    <t>ZE-2014-23.21</t>
  </si>
  <si>
    <t>ZE-2014-23.22</t>
  </si>
  <si>
    <t>ZE-2014-23.23</t>
  </si>
  <si>
    <t>ZE-2014-23.24</t>
  </si>
  <si>
    <t>ZE-2014-24</t>
  </si>
  <si>
    <t>ZE-2014-24.01</t>
  </si>
  <si>
    <t>ZE-2014-24.02</t>
  </si>
  <si>
    <t>ZE-2014-24.03</t>
  </si>
  <si>
    <t>ZE-2014-24.04</t>
  </si>
  <si>
    <t>ZE-2014-24.05</t>
  </si>
  <si>
    <t>ZE-2014-24.06</t>
  </si>
  <si>
    <t>ZE-2014-24.07</t>
  </si>
  <si>
    <t>ZE-2014-24.08</t>
  </si>
  <si>
    <t>ZE-2014-24.09</t>
  </si>
  <si>
    <t>ZE-2014-24.10</t>
  </si>
  <si>
    <t>ZE-2014-24.11</t>
  </si>
  <si>
    <t>ZE-2014-24.12</t>
  </si>
  <si>
    <t>ZE-2014-24.13</t>
  </si>
  <si>
    <t>ZE-2014-24.14</t>
  </si>
  <si>
    <t>ZE-2014-24.15</t>
  </si>
  <si>
    <t>ZE-2014-24.16</t>
  </si>
  <si>
    <t>ZE-2014-24.17</t>
  </si>
  <si>
    <t>ZE-2014-24.18</t>
  </si>
  <si>
    <t>ZE-2014-24.19</t>
  </si>
  <si>
    <t>ZE-2014-24.20</t>
  </si>
  <si>
    <t>ZE-2014-24.21</t>
  </si>
  <si>
    <t>ZE-2014-24.22</t>
  </si>
  <si>
    <t>ZE-2014-24.23</t>
  </si>
  <si>
    <t>ZE-2014-24.24</t>
  </si>
  <si>
    <t>ZE-2014-24.25</t>
  </si>
  <si>
    <t>ZE-2014-24.26</t>
  </si>
  <si>
    <t>ZE-2014-24.27</t>
  </si>
  <si>
    <t>ZE-2014-24.28</t>
  </si>
  <si>
    <t>ZE-2014-24.29</t>
  </si>
  <si>
    <t>ZE-2014-24.30</t>
  </si>
  <si>
    <t>ZE-2014-24.31</t>
  </si>
  <si>
    <t>ZE-2014-24.32</t>
  </si>
  <si>
    <t>ZE-2014-24.33</t>
  </si>
  <si>
    <t>ZE-2014-24.34</t>
  </si>
  <si>
    <t>ZE-2014-24.35</t>
  </si>
  <si>
    <t>ZE-2014-24.36</t>
  </si>
  <si>
    <t>ZE-2014-24.37</t>
  </si>
  <si>
    <t>ZE-2014-24.38</t>
  </si>
  <si>
    <t>ZE-2014-24.39</t>
  </si>
  <si>
    <t>ZE-2014-24.40</t>
  </si>
  <si>
    <t>ZE-2014-24.41</t>
  </si>
  <si>
    <t>ZE-2014-24.42</t>
  </si>
  <si>
    <t>ZE-2014-24.43</t>
  </si>
  <si>
    <t>ZE-2014-25</t>
  </si>
  <si>
    <t>ZE-2014-25.01</t>
  </si>
  <si>
    <t>ZE-2014-25.02</t>
  </si>
  <si>
    <t>ZE-2014-25.03</t>
  </si>
  <si>
    <t>ZE-2014-25.04</t>
  </si>
  <si>
    <t>ZE-2014-25.05</t>
  </si>
  <si>
    <t>ZE-2014-25.06</t>
  </si>
  <si>
    <t>ZE-2014-25.07</t>
  </si>
  <si>
    <t>ZE-2014-25.08</t>
  </si>
  <si>
    <t>ZE-2014-25.09</t>
  </si>
  <si>
    <t>ZE-2014-25.10</t>
  </si>
  <si>
    <t>ZE-2014-25.11</t>
  </si>
  <si>
    <t>ZE-2014-25.12</t>
  </si>
  <si>
    <t>ZE-2014-25.13</t>
  </si>
  <si>
    <t>ZE-2014-25.14</t>
  </si>
  <si>
    <t>ZE-2014-25.15</t>
  </si>
  <si>
    <t>ZE-2014-25.16</t>
  </si>
  <si>
    <t>ZE-2014-25.17</t>
  </si>
  <si>
    <t>ZE-2014-25.18</t>
  </si>
  <si>
    <t>ZE-2014-25.19</t>
  </si>
  <si>
    <t>ZE-2014-25.20</t>
  </si>
  <si>
    <t>ZE-2014-26</t>
  </si>
  <si>
    <t>ZE-2014-27.01</t>
  </si>
  <si>
    <t>ZE-2014-27.02</t>
  </si>
  <si>
    <t>ZE-2014-27.03</t>
  </si>
  <si>
    <t>ZE-2014-27.04</t>
  </si>
  <si>
    <t>ZE-2014-27.05</t>
  </si>
  <si>
    <t>ZE-2014-27.06</t>
  </si>
  <si>
    <t>ZE-2014-27.07</t>
  </si>
  <si>
    <t>ZE-2014-27.08</t>
  </si>
  <si>
    <t>ZE-2014-27.09</t>
  </si>
  <si>
    <t>ZE-2014-27.10</t>
  </si>
  <si>
    <t>ZE-2014-27.11</t>
  </si>
  <si>
    <t>ZE-2014-27.12</t>
  </si>
  <si>
    <t>ZE-2014-27.13</t>
  </si>
  <si>
    <t>ZE-2014-27.14</t>
  </si>
  <si>
    <t>ZE-2014-27.15</t>
  </si>
  <si>
    <t>ZE-2014-27.16</t>
  </si>
  <si>
    <t>ZE-2014-27.17</t>
  </si>
  <si>
    <t>ZE-2014-27.18</t>
  </si>
  <si>
    <t>ZE-2014-27.19</t>
  </si>
  <si>
    <t>ZE-2014-27.20</t>
  </si>
  <si>
    <t>ZE-2014-27.21</t>
  </si>
  <si>
    <t>ZE-2014-27.22</t>
  </si>
  <si>
    <t>ZE-2014-27.23</t>
  </si>
  <si>
    <t>ZE-2014-27.24</t>
  </si>
  <si>
    <t>ZE-2014-27.25</t>
  </si>
  <si>
    <t>ZE-2014-27.26</t>
  </si>
  <si>
    <t>ZE-2014-27.27</t>
  </si>
  <si>
    <t>ZE-2014-28.01</t>
  </si>
  <si>
    <t>ZE-2014-28.02</t>
  </si>
  <si>
    <t>ZE-2014-28.03</t>
  </si>
  <si>
    <t>ZE-2014-28.04</t>
  </si>
  <si>
    <t>ZE-2014-28.05</t>
  </si>
  <si>
    <t>ZE-2014-28.06</t>
  </si>
  <si>
    <t>ZE-2014-28.07</t>
  </si>
  <si>
    <t>ZE-2014-28.08</t>
  </si>
  <si>
    <t>ZE-2014-28.09</t>
  </si>
  <si>
    <t>ZE-2014-28.10</t>
  </si>
  <si>
    <t>ZE-2014-28.11</t>
  </si>
  <si>
    <t>ZE-2014-28.12</t>
  </si>
  <si>
    <t>ZE-2014-28.13</t>
  </si>
  <si>
    <t>ZE-2014-28.14</t>
  </si>
  <si>
    <t>ZE-2014-28.15</t>
  </si>
  <si>
    <t>ZE-2014-28.16</t>
  </si>
  <si>
    <t>ZE-2014-28.17</t>
  </si>
  <si>
    <t>ZE-2014-28.18</t>
  </si>
  <si>
    <t>ZE-2014-28.19</t>
  </si>
  <si>
    <t>ZE-2014-28.20</t>
  </si>
  <si>
    <t>ZE-2014-28.21</t>
  </si>
  <si>
    <r>
      <t xml:space="preserve">ZE-2014-06 </t>
    </r>
    <r>
      <rPr>
        <b/>
        <vertAlign val="superscript"/>
        <sz val="9"/>
        <rFont val="Arial"/>
        <family val="2"/>
      </rPr>
      <t>3</t>
    </r>
  </si>
  <si>
    <r>
      <t xml:space="preserve">ZE-2014-07 </t>
    </r>
    <r>
      <rPr>
        <b/>
        <vertAlign val="superscript"/>
        <sz val="9"/>
        <rFont val="Arial"/>
        <family val="2"/>
      </rPr>
      <t>3</t>
    </r>
  </si>
  <si>
    <r>
      <t xml:space="preserve">ZE-2014-08 </t>
    </r>
    <r>
      <rPr>
        <b/>
        <vertAlign val="superscript"/>
        <sz val="9"/>
        <rFont val="Arial"/>
        <family val="2"/>
      </rPr>
      <t>3</t>
    </r>
  </si>
  <si>
    <r>
      <t xml:space="preserve">ZE-2014-09 </t>
    </r>
    <r>
      <rPr>
        <b/>
        <vertAlign val="superscript"/>
        <sz val="9"/>
        <rFont val="Arial"/>
        <family val="2"/>
      </rPr>
      <t>3</t>
    </r>
  </si>
  <si>
    <r>
      <t xml:space="preserve">ZE-2014-10 </t>
    </r>
    <r>
      <rPr>
        <b/>
        <vertAlign val="superscript"/>
        <sz val="9"/>
        <rFont val="Arial"/>
        <family val="2"/>
      </rPr>
      <t>3</t>
    </r>
  </si>
  <si>
    <r>
      <t xml:space="preserve">ZE-2014-11 </t>
    </r>
    <r>
      <rPr>
        <b/>
        <vertAlign val="superscript"/>
        <sz val="9"/>
        <rFont val="Arial"/>
        <family val="2"/>
      </rPr>
      <t>3</t>
    </r>
  </si>
  <si>
    <r>
      <t xml:space="preserve">ZE-2014-12 </t>
    </r>
    <r>
      <rPr>
        <b/>
        <vertAlign val="superscript"/>
        <sz val="9"/>
        <rFont val="Arial"/>
        <family val="2"/>
      </rPr>
      <t>3</t>
    </r>
  </si>
  <si>
    <r>
      <t xml:space="preserve">ZE-2014-13 </t>
    </r>
    <r>
      <rPr>
        <b/>
        <vertAlign val="superscript"/>
        <sz val="9"/>
        <rFont val="Arial"/>
        <family val="2"/>
      </rPr>
      <t>3</t>
    </r>
  </si>
  <si>
    <r>
      <t xml:space="preserve">ZE-2014-14 </t>
    </r>
    <r>
      <rPr>
        <b/>
        <vertAlign val="superscript"/>
        <sz val="9"/>
        <rFont val="Arial"/>
        <family val="2"/>
      </rPr>
      <t>3</t>
    </r>
  </si>
  <si>
    <r>
      <t xml:space="preserve">ZE-2014-15 </t>
    </r>
    <r>
      <rPr>
        <b/>
        <vertAlign val="superscript"/>
        <sz val="9"/>
        <rFont val="Arial"/>
        <family val="2"/>
      </rPr>
      <t>3</t>
    </r>
  </si>
  <si>
    <r>
      <t xml:space="preserve">ZE-2014-16 </t>
    </r>
    <r>
      <rPr>
        <b/>
        <vertAlign val="superscript"/>
        <sz val="9"/>
        <rFont val="Arial"/>
        <family val="2"/>
      </rPr>
      <t>3</t>
    </r>
  </si>
  <si>
    <r>
      <t xml:space="preserve">ZE-2014-17 </t>
    </r>
    <r>
      <rPr>
        <b/>
        <vertAlign val="superscript"/>
        <sz val="9"/>
        <rFont val="Arial"/>
        <family val="2"/>
      </rPr>
      <t>3</t>
    </r>
  </si>
  <si>
    <r>
      <t xml:space="preserve">ZE-2014-18 </t>
    </r>
    <r>
      <rPr>
        <b/>
        <vertAlign val="superscript"/>
        <sz val="9"/>
        <rFont val="Arial"/>
        <family val="2"/>
      </rPr>
      <t>3</t>
    </r>
  </si>
  <si>
    <r>
      <t>ZE-2014-19</t>
    </r>
    <r>
      <rPr>
        <b/>
        <vertAlign val="superscript"/>
        <sz val="9"/>
        <rFont val="Arial"/>
        <family val="2"/>
      </rPr>
      <t xml:space="preserve"> 3</t>
    </r>
  </si>
  <si>
    <r>
      <t xml:space="preserve">ZE-2014-26 </t>
    </r>
    <r>
      <rPr>
        <b/>
        <vertAlign val="superscript"/>
        <sz val="9"/>
        <rFont val="Arial"/>
        <family val="2"/>
      </rPr>
      <t>5</t>
    </r>
  </si>
  <si>
    <r>
      <t xml:space="preserve">ZE-2014-27 </t>
    </r>
    <r>
      <rPr>
        <b/>
        <vertAlign val="superscript"/>
        <sz val="9"/>
        <rFont val="Arial"/>
        <family val="2"/>
      </rPr>
      <t>3</t>
    </r>
  </si>
  <si>
    <r>
      <t xml:space="preserve">ZE-2014-28 </t>
    </r>
    <r>
      <rPr>
        <b/>
        <vertAlign val="superscript"/>
        <sz val="9"/>
        <rFont val="Arial"/>
        <family val="2"/>
      </rPr>
      <t>3</t>
    </r>
  </si>
  <si>
    <t>Übertrag des Betrages in 
Zelle I29
in ITAR_K Gesamtansicht</t>
  </si>
  <si>
    <t>ZE-2014-04.01</t>
  </si>
  <si>
    <t>ZE-2014-04.02</t>
  </si>
  <si>
    <t>ZE-2014-04.03</t>
  </si>
  <si>
    <t>ZE-2014-04.04</t>
  </si>
  <si>
    <t>ZE-2014-04.05</t>
  </si>
  <si>
    <t>ZE-2014-04.06</t>
  </si>
  <si>
    <t>ZE-2014-04.07</t>
  </si>
  <si>
    <t>ZE-2014-04.08</t>
  </si>
  <si>
    <t>ZE-2014-04.09</t>
  </si>
  <si>
    <t>ZE-2014-04.10</t>
  </si>
  <si>
    <t>ZE-2014-04.11</t>
  </si>
  <si>
    <r>
      <t xml:space="preserve">ZE-2014-04 </t>
    </r>
    <r>
      <rPr>
        <b/>
        <vertAlign val="superscript"/>
        <sz val="9"/>
        <rFont val="Arial"/>
        <family val="2"/>
      </rPr>
      <t>2</t>
    </r>
  </si>
  <si>
    <t>ZE-2014-05.01</t>
  </si>
  <si>
    <t>ZE-2014-05.02</t>
  </si>
  <si>
    <t>ZE-2014-05.03</t>
  </si>
  <si>
    <t>ZE-2014-05.04</t>
  </si>
  <si>
    <t>ZE-2014-05.05</t>
  </si>
  <si>
    <t>ZE-2014-05.06</t>
  </si>
  <si>
    <t>ZE-2014-05.07</t>
  </si>
  <si>
    <t>ZE-2014-05.08</t>
  </si>
  <si>
    <t>ZE-2014-05.09</t>
  </si>
  <si>
    <t>CHOP-/ ATC-Text</t>
  </si>
  <si>
    <r>
      <t xml:space="preserve">ZE-2014-05 </t>
    </r>
    <r>
      <rPr>
        <b/>
        <vertAlign val="superscript"/>
        <sz val="9"/>
        <rFont val="Arial"/>
        <family val="2"/>
      </rPr>
      <t>3</t>
    </r>
  </si>
  <si>
    <t xml:space="preserve">CHOP-Text / Dosisklassen </t>
  </si>
  <si>
    <t>Kontrollspalte</t>
  </si>
  <si>
    <t>Total Zusatzentgelt, unbewertete Fallpauschale und unbewertetes Zusatzentgelt</t>
  </si>
  <si>
    <t>+ nationale Projektionsrechnung: Personal- und Sachteuerung auf 1 Jahr</t>
  </si>
  <si>
    <t>Ja</t>
  </si>
  <si>
    <t>Nein</t>
  </si>
  <si>
    <r>
      <t xml:space="preserve">Casemix netto </t>
    </r>
    <r>
      <rPr>
        <b/>
        <sz val="10"/>
        <rFont val="Arial"/>
        <family val="2"/>
      </rPr>
      <t xml:space="preserve">SwissDRG 5.0 </t>
    </r>
    <r>
      <rPr>
        <sz val="10"/>
        <rFont val="Arial"/>
        <family val="2"/>
      </rPr>
      <t>(Planungsversion I 2014/2016, welche auf den 2014 gültigen Klassifikationen der ICD-10-GM Version 2010 und der CHOP Version 2012 basiert) (verrechenbarer CM inkl. Berücksichtigung In-/Outlier und Fallzusammenlegungen)</t>
    </r>
  </si>
  <si>
    <t>Kontrolltotal ambulant
(Spalten CK-CU)</t>
  </si>
  <si>
    <t>Pflegetage inkl. gesunde Säuglinge nach SwissDRG</t>
  </si>
  <si>
    <t>Bestandesänderungen an unfertigen und fertigen Erzeugnissen sowie an
unverrechneten Lieferungen und Leistungen</t>
  </si>
  <si>
    <t>CI71</t>
  </si>
  <si>
    <t>Ambulant: Kosten je Taxpunkt und Tarif, nach Abzügen/Aufrechnungen inkl. ANK REKOLE</t>
  </si>
  <si>
    <t>DRG Version</t>
  </si>
  <si>
    <t>Übertrag des Betrages in 
Zelle J29 
in ITAR_K Gesamtansicht</t>
  </si>
  <si>
    <t>Sachliche Abgrenzungen plausibel? Bitte in Mappe "Zusatzinfo" unter "6 Allfällige Kommentare zur Abgrenzungsrechnung oder zum ITAR_K " Begründen</t>
  </si>
  <si>
    <r>
      <rPr>
        <b/>
        <sz val="10"/>
        <rFont val="Arial"/>
        <family val="2"/>
      </rPr>
      <t>Anzahl Fälle stationär akut</t>
    </r>
    <r>
      <rPr>
        <sz val="10"/>
        <rFont val="Arial"/>
        <family val="2"/>
      </rPr>
      <t>: itark Gesamtsicht Zelle R37 entspricht Zelle J13 in Zusatzinfos - 0 ist gut - eine Differenz ist zu korrigieren</t>
    </r>
  </si>
  <si>
    <r>
      <rPr>
        <b/>
        <sz val="10"/>
        <rFont val="Arial"/>
        <family val="2"/>
      </rPr>
      <t>Anzahl Fälle stationär Rehab</t>
    </r>
    <r>
      <rPr>
        <sz val="10"/>
        <rFont val="Arial"/>
        <family val="2"/>
      </rPr>
      <t>: itark Gesamtsicht Zelle BF37 entspricht Zelle AX13 in Zusatzinfos - 0 ist gut - eine Differenz ist zu korrigieren</t>
    </r>
  </si>
  <si>
    <r>
      <rPr>
        <b/>
        <sz val="10"/>
        <rFont val="Arial"/>
        <family val="2"/>
      </rPr>
      <t>Anzahl Fälle stationär Psychi:</t>
    </r>
    <r>
      <rPr>
        <sz val="10"/>
        <rFont val="Arial"/>
        <family val="2"/>
      </rPr>
      <t xml:space="preserve"> itark Gesamtsicht Zelle BS37 entspricht Zelle BK13 in Zusatzinfos - 0 ist gut - eine Differenz ist zu korrigieren</t>
    </r>
  </si>
  <si>
    <r>
      <t xml:space="preserve">Prüfung %-Anteil der Anlagenutzungskosten </t>
    </r>
    <r>
      <rPr>
        <sz val="10"/>
        <rFont val="Arial"/>
        <family val="2"/>
      </rPr>
      <t>(KTR-Ausweis Gesamtsicht, Zeile 81) - Anlagennutzungskosten gemäss REKOLE &lt; 8% resp. &gt; 20 % sind zu begründen!</t>
    </r>
  </si>
  <si>
    <r>
      <t>Prüfung Ertrag je Taxpunkt</t>
    </r>
    <r>
      <rPr>
        <sz val="10"/>
        <rFont val="Arial"/>
        <family val="2"/>
      </rPr>
      <t xml:space="preserve"> (ITAR_K Gesamtsicht, E78-E85) - Kostendeckungsgrad sollte den innerhalb der Richtwerte liegen</t>
    </r>
  </si>
  <si>
    <r>
      <t>Prüfungen Kostendeckungsgrad</t>
    </r>
    <r>
      <rPr>
        <sz val="10"/>
        <rFont val="Arial"/>
        <family val="2"/>
      </rPr>
      <t xml:space="preserve"> (KTR-Ausweis Gesamtsicht, Zeile 80) - Kostendeckungsgrad sollte innerhalb der Richtwerte liegen</t>
    </r>
  </si>
  <si>
    <r>
      <t xml:space="preserve">Prüfung Zusatzentgelt Dialyse - </t>
    </r>
    <r>
      <rPr>
        <sz val="10"/>
        <rFont val="Arial"/>
        <family val="2"/>
      </rPr>
      <t>Zusatzentgelt sollte höher sein als Kosten gemäss KTR-Ausweis (Zeile 51)</t>
    </r>
  </si>
  <si>
    <t>Anzahl Leistungseinheiten (Case Mix, Pflegetage, fakt. Taxpunkte, Ertrag, etc.)</t>
  </si>
  <si>
    <t>Pflegetage inkl. gesunde Säuglinge (Stückrechnung)</t>
  </si>
  <si>
    <t>stationärer Krankenversicherungsbereich 
inkl. gesunde Säuglinge</t>
  </si>
  <si>
    <r>
      <t xml:space="preserve">Anzahl Pflegetage gesamter stationärer Bereich </t>
    </r>
    <r>
      <rPr>
        <b/>
        <sz val="10"/>
        <color rgb="FFFF0000"/>
        <rFont val="Arial"/>
        <family val="2"/>
      </rPr>
      <t>ohne</t>
    </r>
    <r>
      <rPr>
        <b/>
        <sz val="10"/>
        <rFont val="Arial"/>
        <family val="2"/>
      </rPr>
      <t xml:space="preserve"> gesunde Säuglinge gemäss BFS-Definition </t>
    </r>
  </si>
  <si>
    <r>
      <rPr>
        <b/>
        <sz val="10"/>
        <rFont val="Arial"/>
        <family val="2"/>
      </rPr>
      <t>Total Kostenarten- und Kostenträgerrechnung stimmen überein</t>
    </r>
    <r>
      <rPr>
        <sz val="10"/>
        <rFont val="Arial"/>
        <family val="2"/>
      </rPr>
      <t>.
ITAR_K Gesamtsicht, Zelle CJ19 muss zwingend 0 sein! (Zelle E17 - CI19+G19+H19 = 0) (Toleranz CHF 499.--)- Grössere Differenzen sind zu korrigieren.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</si>
</sst>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5" formatCode="&quot;Fr.&quot;\ #,##0;&quot;Fr.&quot;\ \-#,##0"/>
    <numFmt numFmtId="43" formatCode="_ * #,##0.00_ ;_ * \-#,##0.00_ ;_ * &quot;-&quot;??_ ;_ @_ "/>
    <numFmt numFmtId="164" formatCode="_-* #,##0.00\ &quot;€&quot;_-;\-* #,##0.00\ &quot;€&quot;_-;_-* &quot;-&quot;??\ &quot;€&quot;_-;_-@_-"/>
    <numFmt numFmtId="165" formatCode="_ * #,##0_ ;_ * \-#,##0_ ;_ * &quot;-&quot;??_ ;_ @_ "/>
    <numFmt numFmtId="166" formatCode="0.0%"/>
    <numFmt numFmtId="167" formatCode="#,##0&quot; Tage&quot;"/>
    <numFmt numFmtId="168" formatCode="#,##0.000"/>
    <numFmt numFmtId="169" formatCode="#,##0&quot; gew.Tage&quot;"/>
    <numFmt numFmtId="170" formatCode="#,##0_ ;\-#,##0\ "/>
    <numFmt numFmtId="171" formatCode="#,##0.00_ ;\-#,##0.00\ "/>
    <numFmt numFmtId="172" formatCode="0.000%"/>
    <numFmt numFmtId="173" formatCode="#,##0.0000"/>
    <numFmt numFmtId="174" formatCode="0.0"/>
    <numFmt numFmtId="175" formatCode="#,##0.00\ &quot;€&quot;"/>
    <numFmt numFmtId="176" formatCode="####\ &quot;Betten&quot;"/>
    <numFmt numFmtId="177" formatCode="###,###,##0\ &quot;Pflegetage&quot;"/>
    <numFmt numFmtId="178" formatCode="###,###,##0\ &quot;Austritte&quot;"/>
  </numFmts>
  <fonts count="81">
    <font>
      <sz val="10"/>
      <name val="Arial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20"/>
      <name val="Arial"/>
      <family val="2"/>
    </font>
    <font>
      <b/>
      <sz val="10"/>
      <color indexed="12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b/>
      <u/>
      <sz val="20"/>
      <name val="Arial"/>
      <family val="2"/>
    </font>
    <font>
      <b/>
      <sz val="14"/>
      <name val="Arial"/>
      <family val="2"/>
    </font>
    <font>
      <b/>
      <sz val="11"/>
      <color indexed="9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color indexed="9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b/>
      <sz val="18"/>
      <name val="Arial"/>
      <family val="2"/>
    </font>
    <font>
      <sz val="9"/>
      <color indexed="81"/>
      <name val="Tahoma"/>
      <family val="2"/>
    </font>
    <font>
      <sz val="14"/>
      <name val="Arial"/>
      <family val="2"/>
    </font>
    <font>
      <b/>
      <sz val="9"/>
      <color indexed="81"/>
      <name val="Tahoma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10"/>
      <name val="Calibri"/>
      <family val="2"/>
    </font>
    <font>
      <sz val="7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trike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sz val="10"/>
      <color indexed="81"/>
      <name val="Tahoma"/>
      <family val="2"/>
    </font>
    <font>
      <b/>
      <sz val="20"/>
      <color indexed="10"/>
      <name val="Arial"/>
      <family val="2"/>
    </font>
    <font>
      <sz val="11"/>
      <color theme="1"/>
      <name val="Arial"/>
      <family val="2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3"/>
      <name val="Arial"/>
      <family val="2"/>
    </font>
    <font>
      <b/>
      <sz val="14"/>
      <color rgb="FFFF0000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b/>
      <sz val="9"/>
      <color rgb="FF0000FF"/>
      <name val="Arial"/>
      <family val="2"/>
    </font>
    <font>
      <b/>
      <sz val="10"/>
      <color rgb="FF0000FF"/>
      <name val="Arial"/>
      <family val="2"/>
    </font>
    <font>
      <i/>
      <sz val="10"/>
      <color rgb="FF0000FF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00FF"/>
      <name val="Arial"/>
      <family val="2"/>
    </font>
    <font>
      <b/>
      <i/>
      <sz val="16"/>
      <name val="Arial"/>
      <family val="2"/>
    </font>
    <font>
      <sz val="9"/>
      <color rgb="FFFF000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</fonts>
  <fills count="5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gray125">
        <fgColor indexed="53"/>
        <bgColor indexed="9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53"/>
      </patternFill>
    </fill>
    <fill>
      <patternFill patternType="solid">
        <fgColor indexed="65"/>
      </patternFill>
    </fill>
    <fill>
      <patternFill patternType="solid">
        <fgColor theme="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00"/>
        <bgColor indexed="53"/>
      </patternFill>
    </fill>
    <fill>
      <patternFill patternType="solid">
        <fgColor rgb="FFFFCC9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9CC00"/>
        <bgColor indexed="62"/>
      </patternFill>
    </fill>
    <fill>
      <patternFill patternType="solid">
        <fgColor theme="4" tint="0.59999389629810485"/>
        <bgColor indexed="64"/>
      </patternFill>
    </fill>
  </fills>
  <borders count="15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 style="medium">
        <color indexed="64"/>
      </left>
      <right style="thin">
        <color theme="0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76">
    <xf numFmtId="0" fontId="0" fillId="0" borderId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8" borderId="0" applyNumberFormat="0" applyBorder="0" applyAlignment="0" applyProtection="0"/>
    <xf numFmtId="0" fontId="48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49" fillId="20" borderId="1" applyNumberFormat="0" applyAlignment="0" applyProtection="0"/>
    <xf numFmtId="0" fontId="36" fillId="0" borderId="0" applyNumberFormat="0" applyFill="0" applyBorder="0" applyAlignment="0" applyProtection="0"/>
    <xf numFmtId="0" fontId="50" fillId="20" borderId="2" applyNumberFormat="0" applyAlignment="0" applyProtection="0"/>
    <xf numFmtId="0" fontId="37" fillId="0" borderId="3" applyNumberFormat="0" applyFill="0" applyAlignment="0" applyProtection="0"/>
    <xf numFmtId="0" fontId="1" fillId="21" borderId="4" applyNumberFormat="0" applyFont="0" applyAlignment="0" applyProtection="0"/>
    <xf numFmtId="0" fontId="1" fillId="21" borderId="4" applyNumberFormat="0" applyFont="0" applyAlignment="0" applyProtection="0"/>
    <xf numFmtId="0" fontId="51" fillId="7" borderId="2" applyNumberFormat="0" applyAlignment="0" applyProtection="0"/>
    <xf numFmtId="0" fontId="29" fillId="0" borderId="5" applyNumberFormat="0" applyFill="0" applyAlignment="0" applyProtection="0"/>
    <xf numFmtId="0" fontId="52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3" fillId="4" borderId="0" applyNumberFormat="0" applyBorder="0" applyAlignment="0" applyProtection="0"/>
    <xf numFmtId="0" fontId="60" fillId="0" borderId="0" applyNumberFormat="0" applyFill="0" applyBorder="0" applyAlignment="0" applyProtection="0"/>
    <xf numFmtId="0" fontId="38" fillId="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0" fontId="54" fillId="22" borderId="0" applyNumberFormat="0" applyBorder="0" applyAlignment="0" applyProtection="0"/>
    <xf numFmtId="0" fontId="1" fillId="0" borderId="0"/>
    <xf numFmtId="0" fontId="1" fillId="21" borderId="4" applyNumberFormat="0" applyFont="0" applyAlignment="0" applyProtection="0"/>
    <xf numFmtId="0" fontId="1" fillId="21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3" fillId="23" borderId="9" applyNumberFormat="0" applyAlignment="0" applyProtection="0"/>
    <xf numFmtId="0" fontId="37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43" fillId="23" borderId="9" applyNumberFormat="0" applyAlignment="0" applyProtection="0"/>
  </cellStyleXfs>
  <cellXfs count="1514">
    <xf numFmtId="0" fontId="0" fillId="0" borderId="0" xfId="0"/>
    <xf numFmtId="0" fontId="7" fillId="0" borderId="0" xfId="46" applyNumberFormat="1" applyFont="1"/>
    <xf numFmtId="0" fontId="3" fillId="0" borderId="0" xfId="46" applyNumberFormat="1" applyFont="1"/>
    <xf numFmtId="3" fontId="3" fillId="24" borderId="10" xfId="46" applyNumberFormat="1" applyFont="1" applyFill="1" applyBorder="1"/>
    <xf numFmtId="3" fontId="3" fillId="24" borderId="11" xfId="46" applyNumberFormat="1" applyFont="1" applyFill="1" applyBorder="1"/>
    <xf numFmtId="3" fontId="3" fillId="0" borderId="10" xfId="46" applyNumberFormat="1" applyFont="1" applyFill="1" applyBorder="1"/>
    <xf numFmtId="3" fontId="3" fillId="0" borderId="11" xfId="46" applyNumberFormat="1" applyFont="1" applyFill="1" applyBorder="1"/>
    <xf numFmtId="0" fontId="8" fillId="0" borderId="0" xfId="46" applyNumberFormat="1" applyFont="1"/>
    <xf numFmtId="0" fontId="0" fillId="0" borderId="0" xfId="0" applyAlignment="1"/>
    <xf numFmtId="0" fontId="9" fillId="0" borderId="0" xfId="46" applyNumberFormat="1" applyFont="1" applyBorder="1" applyAlignment="1">
      <alignment horizontal="left"/>
    </xf>
    <xf numFmtId="0" fontId="1" fillId="0" borderId="0" xfId="46" applyNumberFormat="1"/>
    <xf numFmtId="3" fontId="1" fillId="0" borderId="11" xfId="46" applyNumberFormat="1" applyBorder="1"/>
    <xf numFmtId="3" fontId="1" fillId="0" borderId="10" xfId="46" applyNumberFormat="1" applyBorder="1"/>
    <xf numFmtId="0" fontId="1" fillId="0" borderId="0" xfId="46" applyNumberFormat="1" applyFill="1"/>
    <xf numFmtId="3" fontId="1" fillId="0" borderId="10" xfId="46" applyNumberFormat="1" applyFill="1" applyBorder="1"/>
    <xf numFmtId="3" fontId="1" fillId="0" borderId="11" xfId="46" applyNumberFormat="1" applyFill="1" applyBorder="1"/>
    <xf numFmtId="0" fontId="1" fillId="0" borderId="11" xfId="46" applyNumberFormat="1" applyBorder="1"/>
    <xf numFmtId="0" fontId="1" fillId="25" borderId="11" xfId="46" applyNumberFormat="1" applyFont="1" applyFill="1" applyBorder="1"/>
    <xf numFmtId="0" fontId="1" fillId="26" borderId="12" xfId="46" applyNumberFormat="1" applyFont="1" applyFill="1" applyBorder="1"/>
    <xf numFmtId="0" fontId="1" fillId="27" borderId="12" xfId="46" applyNumberFormat="1" applyFont="1" applyFill="1" applyBorder="1"/>
    <xf numFmtId="0" fontId="1" fillId="28" borderId="12" xfId="46" applyNumberFormat="1" applyFont="1" applyFill="1" applyBorder="1"/>
    <xf numFmtId="0" fontId="1" fillId="0" borderId="13" xfId="46" applyNumberFormat="1" applyFont="1" applyBorder="1"/>
    <xf numFmtId="0" fontId="22" fillId="0" borderId="0" xfId="46" applyNumberFormat="1" applyFont="1"/>
    <xf numFmtId="0" fontId="4" fillId="29" borderId="0" xfId="46" applyNumberFormat="1" applyFont="1" applyFill="1"/>
    <xf numFmtId="3" fontId="1" fillId="24" borderId="10" xfId="46" applyNumberFormat="1" applyFill="1" applyBorder="1"/>
    <xf numFmtId="0" fontId="1" fillId="0" borderId="0" xfId="46" applyNumberFormat="1" applyFill="1" applyBorder="1"/>
    <xf numFmtId="3" fontId="4" fillId="0" borderId="10" xfId="46" applyNumberFormat="1" applyFont="1" applyFill="1" applyBorder="1"/>
    <xf numFmtId="3" fontId="4" fillId="0" borderId="11" xfId="46" applyNumberFormat="1" applyFont="1" applyFill="1" applyBorder="1"/>
    <xf numFmtId="0" fontId="4" fillId="0" borderId="0" xfId="46" applyNumberFormat="1" applyFont="1" applyFill="1"/>
    <xf numFmtId="0" fontId="3" fillId="0" borderId="0" xfId="46" applyNumberFormat="1" applyFont="1" applyFill="1"/>
    <xf numFmtId="0" fontId="0" fillId="0" borderId="0" xfId="0" applyFill="1"/>
    <xf numFmtId="0" fontId="10" fillId="0" borderId="0" xfId="0" applyFont="1"/>
    <xf numFmtId="0" fontId="0" fillId="0" borderId="0" xfId="0" applyBorder="1"/>
    <xf numFmtId="0" fontId="12" fillId="0" borderId="11" xfId="0" applyFont="1" applyBorder="1" applyAlignment="1">
      <alignment horizontal="center" wrapText="1"/>
    </xf>
    <xf numFmtId="3" fontId="2" fillId="0" borderId="14" xfId="46" applyNumberFormat="1" applyFont="1" applyFill="1" applyBorder="1" applyAlignment="1">
      <alignment wrapText="1"/>
    </xf>
    <xf numFmtId="0" fontId="0" fillId="0" borderId="0" xfId="0" applyFill="1" applyBorder="1"/>
    <xf numFmtId="0" fontId="12" fillId="0" borderId="0" xfId="0" applyFont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15" fillId="0" borderId="0" xfId="0" applyFont="1"/>
    <xf numFmtId="0" fontId="15" fillId="0" borderId="14" xfId="0" applyFont="1" applyBorder="1"/>
    <xf numFmtId="0" fontId="15" fillId="0" borderId="0" xfId="0" applyFont="1" applyBorder="1"/>
    <xf numFmtId="0" fontId="15" fillId="0" borderId="16" xfId="0" applyFont="1" applyBorder="1"/>
    <xf numFmtId="0" fontId="15" fillId="0" borderId="16" xfId="0" applyFont="1" applyFill="1" applyBorder="1"/>
    <xf numFmtId="0" fontId="15" fillId="0" borderId="17" xfId="0" applyFont="1" applyFill="1" applyBorder="1"/>
    <xf numFmtId="0" fontId="15" fillId="0" borderId="15" xfId="0" applyFont="1" applyBorder="1"/>
    <xf numFmtId="0" fontId="15" fillId="0" borderId="18" xfId="0" applyFont="1" applyBorder="1"/>
    <xf numFmtId="0" fontId="12" fillId="0" borderId="0" xfId="0" applyFont="1" applyFill="1" applyBorder="1"/>
    <xf numFmtId="0" fontId="15" fillId="0" borderId="19" xfId="0" applyFont="1" applyBorder="1"/>
    <xf numFmtId="0" fontId="15" fillId="0" borderId="20" xfId="0" applyFont="1" applyBorder="1"/>
    <xf numFmtId="0" fontId="15" fillId="0" borderId="0" xfId="0" applyFont="1" applyFill="1" applyBorder="1"/>
    <xf numFmtId="0" fontId="15" fillId="0" borderId="21" xfId="0" applyFont="1" applyBorder="1"/>
    <xf numFmtId="0" fontId="17" fillId="0" borderId="21" xfId="0" applyFont="1" applyBorder="1"/>
    <xf numFmtId="0" fontId="15" fillId="0" borderId="20" xfId="0" applyFont="1" applyFill="1" applyBorder="1"/>
    <xf numFmtId="0" fontId="15" fillId="0" borderId="0" xfId="0" applyFont="1" applyFill="1"/>
    <xf numFmtId="3" fontId="15" fillId="0" borderId="15" xfId="46" applyNumberFormat="1" applyFont="1" applyFill="1" applyBorder="1"/>
    <xf numFmtId="3" fontId="15" fillId="0" borderId="11" xfId="46" applyNumberFormat="1" applyFont="1" applyFill="1" applyBorder="1"/>
    <xf numFmtId="3" fontId="17" fillId="0" borderId="15" xfId="46" applyNumberFormat="1" applyFont="1" applyFill="1" applyBorder="1"/>
    <xf numFmtId="3" fontId="17" fillId="0" borderId="11" xfId="46" applyNumberFormat="1" applyFont="1" applyFill="1" applyBorder="1"/>
    <xf numFmtId="0" fontId="17" fillId="0" borderId="0" xfId="0" applyFont="1" applyFill="1"/>
    <xf numFmtId="0" fontId="19" fillId="0" borderId="22" xfId="0" applyFont="1" applyBorder="1"/>
    <xf numFmtId="0" fontId="20" fillId="0" borderId="15" xfId="0" applyFont="1" applyBorder="1"/>
    <xf numFmtId="3" fontId="19" fillId="0" borderId="11" xfId="46" applyNumberFormat="1" applyFont="1" applyFill="1" applyBorder="1"/>
    <xf numFmtId="0" fontId="20" fillId="0" borderId="0" xfId="0" applyFont="1" applyFill="1"/>
    <xf numFmtId="0" fontId="11" fillId="31" borderId="19" xfId="0" applyFont="1" applyFill="1" applyBorder="1"/>
    <xf numFmtId="0" fontId="16" fillId="31" borderId="15" xfId="0" applyFont="1" applyFill="1" applyBorder="1"/>
    <xf numFmtId="0" fontId="13" fillId="31" borderId="11" xfId="0" applyFont="1" applyFill="1" applyBorder="1" applyAlignment="1">
      <alignment horizontal="center" wrapText="1"/>
    </xf>
    <xf numFmtId="3" fontId="17" fillId="0" borderId="23" xfId="46" applyNumberFormat="1" applyFont="1" applyFill="1" applyBorder="1"/>
    <xf numFmtId="0" fontId="11" fillId="31" borderId="0" xfId="0" applyFont="1" applyFill="1" applyBorder="1"/>
    <xf numFmtId="0" fontId="16" fillId="31" borderId="0" xfId="0" applyFont="1" applyFill="1" applyBorder="1"/>
    <xf numFmtId="0" fontId="13" fillId="31" borderId="0" xfId="0" applyFont="1" applyFill="1" applyBorder="1" applyAlignment="1">
      <alignment horizontal="center" wrapText="1"/>
    </xf>
    <xf numFmtId="3" fontId="2" fillId="31" borderId="24" xfId="46" applyNumberFormat="1" applyFont="1" applyFill="1" applyBorder="1" applyAlignment="1">
      <alignment wrapText="1"/>
    </xf>
    <xf numFmtId="0" fontId="12" fillId="30" borderId="14" xfId="0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" fillId="0" borderId="0" xfId="46" applyNumberFormat="1" applyAlignment="1"/>
    <xf numFmtId="0" fontId="8" fillId="0" borderId="0" xfId="46" applyNumberFormat="1" applyFont="1" applyAlignment="1"/>
    <xf numFmtId="0" fontId="1" fillId="0" borderId="0" xfId="46" applyNumberFormat="1" applyFill="1" applyBorder="1" applyAlignment="1"/>
    <xf numFmtId="0" fontId="8" fillId="0" borderId="0" xfId="46" applyNumberFormat="1" applyFont="1" applyFill="1" applyBorder="1" applyAlignment="1"/>
    <xf numFmtId="0" fontId="17" fillId="0" borderId="15" xfId="0" applyFont="1" applyBorder="1"/>
    <xf numFmtId="0" fontId="14" fillId="0" borderId="15" xfId="0" applyFont="1" applyBorder="1" applyAlignment="1">
      <alignment horizontal="center" wrapText="1"/>
    </xf>
    <xf numFmtId="0" fontId="19" fillId="0" borderId="0" xfId="0" applyFont="1"/>
    <xf numFmtId="0" fontId="19" fillId="0" borderId="15" xfId="0" applyFont="1" applyBorder="1"/>
    <xf numFmtId="0" fontId="19" fillId="0" borderId="18" xfId="0" applyFont="1" applyBorder="1" applyAlignment="1">
      <alignment horizontal="center" wrapText="1"/>
    </xf>
    <xf numFmtId="3" fontId="15" fillId="31" borderId="0" xfId="46" applyNumberFormat="1" applyFont="1" applyFill="1" applyBorder="1"/>
    <xf numFmtId="0" fontId="19" fillId="0" borderId="0" xfId="0" applyFont="1" applyBorder="1"/>
    <xf numFmtId="0" fontId="19" fillId="0" borderId="0" xfId="0" applyFont="1" applyBorder="1" applyAlignment="1">
      <alignment horizontal="center" wrapText="1"/>
    </xf>
    <xf numFmtId="3" fontId="19" fillId="0" borderId="14" xfId="46" applyNumberFormat="1" applyFont="1" applyFill="1" applyBorder="1" applyAlignment="1">
      <alignment wrapText="1"/>
    </xf>
    <xf numFmtId="0" fontId="19" fillId="0" borderId="0" xfId="0" applyFont="1" applyFill="1" applyBorder="1"/>
    <xf numFmtId="0" fontId="19" fillId="0" borderId="14" xfId="0" applyFont="1" applyBorder="1"/>
    <xf numFmtId="3" fontId="19" fillId="0" borderId="11" xfId="46" applyNumberFormat="1" applyFont="1" applyBorder="1"/>
    <xf numFmtId="3" fontId="15" fillId="0" borderId="11" xfId="0" applyNumberFormat="1" applyFont="1" applyFill="1" applyBorder="1"/>
    <xf numFmtId="3" fontId="5" fillId="0" borderId="0" xfId="46" applyNumberFormat="1" applyFont="1" applyFill="1" applyBorder="1" applyAlignment="1"/>
    <xf numFmtId="165" fontId="1" fillId="0" borderId="0" xfId="46" applyNumberFormat="1" applyAlignment="1"/>
    <xf numFmtId="0" fontId="1" fillId="0" borderId="15" xfId="46" applyNumberFormat="1" applyFont="1" applyBorder="1"/>
    <xf numFmtId="0" fontId="14" fillId="0" borderId="21" xfId="0" applyFont="1" applyBorder="1"/>
    <xf numFmtId="0" fontId="14" fillId="0" borderId="14" xfId="0" applyFont="1" applyBorder="1"/>
    <xf numFmtId="3" fontId="14" fillId="0" borderId="11" xfId="46" applyNumberFormat="1" applyFont="1" applyFill="1" applyBorder="1"/>
    <xf numFmtId="0" fontId="14" fillId="0" borderId="0" xfId="0" applyFont="1" applyFill="1"/>
    <xf numFmtId="0" fontId="15" fillId="0" borderId="11" xfId="0" applyFont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1" fillId="0" borderId="0" xfId="46" applyNumberFormat="1" applyFont="1" applyFill="1"/>
    <xf numFmtId="3" fontId="1" fillId="0" borderId="10" xfId="46" applyNumberFormat="1" applyFont="1" applyFill="1" applyBorder="1"/>
    <xf numFmtId="3" fontId="1" fillId="0" borderId="11" xfId="46" applyNumberFormat="1" applyFont="1" applyFill="1" applyBorder="1"/>
    <xf numFmtId="0" fontId="1" fillId="24" borderId="15" xfId="46" applyNumberFormat="1" applyFill="1" applyBorder="1"/>
    <xf numFmtId="0" fontId="3" fillId="24" borderId="15" xfId="46" applyNumberFormat="1" applyFont="1" applyFill="1" applyBorder="1"/>
    <xf numFmtId="0" fontId="1" fillId="0" borderId="15" xfId="46" applyNumberFormat="1" applyFont="1" applyFill="1" applyBorder="1"/>
    <xf numFmtId="0" fontId="1" fillId="0" borderId="15" xfId="46" quotePrefix="1" applyNumberFormat="1" applyFont="1" applyFill="1" applyBorder="1"/>
    <xf numFmtId="0" fontId="1" fillId="29" borderId="11" xfId="46" applyNumberFormat="1" applyFont="1" applyFill="1" applyBorder="1" applyAlignment="1">
      <alignment horizontal="center"/>
    </xf>
    <xf numFmtId="0" fontId="1" fillId="0" borderId="11" xfId="46" applyNumberFormat="1" applyBorder="1" applyAlignment="1">
      <alignment horizontal="center"/>
    </xf>
    <xf numFmtId="0" fontId="1" fillId="0" borderId="11" xfId="46" applyNumberFormat="1" applyFont="1" applyFill="1" applyBorder="1" applyAlignment="1">
      <alignment horizontal="center"/>
    </xf>
    <xf numFmtId="0" fontId="4" fillId="29" borderId="11" xfId="46" applyNumberFormat="1" applyFont="1" applyFill="1" applyBorder="1" applyAlignment="1">
      <alignment horizontal="center"/>
    </xf>
    <xf numFmtId="0" fontId="4" fillId="0" borderId="11" xfId="46" applyNumberFormat="1" applyFont="1" applyFill="1" applyBorder="1" applyAlignment="1">
      <alignment horizontal="center"/>
    </xf>
    <xf numFmtId="0" fontId="3" fillId="0" borderId="11" xfId="46" applyNumberFormat="1" applyFont="1" applyFill="1" applyBorder="1" applyAlignment="1">
      <alignment horizontal="center"/>
    </xf>
    <xf numFmtId="0" fontId="1" fillId="0" borderId="11" xfId="46" applyNumberFormat="1" applyFill="1" applyBorder="1" applyAlignment="1">
      <alignment horizontal="center"/>
    </xf>
    <xf numFmtId="0" fontId="3" fillId="0" borderId="11" xfId="46" applyNumberFormat="1" applyFont="1" applyBorder="1" applyAlignment="1">
      <alignment horizontal="center"/>
    </xf>
    <xf numFmtId="0" fontId="15" fillId="0" borderId="0" xfId="0" applyFont="1" applyAlignment="1">
      <alignment horizontal="center" wrapText="1"/>
    </xf>
    <xf numFmtId="0" fontId="21" fillId="32" borderId="25" xfId="46" applyNumberFormat="1" applyFont="1" applyFill="1" applyBorder="1" applyAlignment="1">
      <alignment horizontal="center" vertical="center" wrapText="1"/>
    </xf>
    <xf numFmtId="0" fontId="17" fillId="25" borderId="25" xfId="46" applyNumberFormat="1" applyFont="1" applyFill="1" applyBorder="1" applyAlignment="1">
      <alignment horizontal="center" vertical="center" wrapText="1"/>
    </xf>
    <xf numFmtId="0" fontId="17" fillId="26" borderId="25" xfId="46" applyNumberFormat="1" applyFont="1" applyFill="1" applyBorder="1" applyAlignment="1">
      <alignment horizontal="center" vertical="center" wrapText="1"/>
    </xf>
    <xf numFmtId="0" fontId="17" fillId="27" borderId="25" xfId="46" applyNumberFormat="1" applyFont="1" applyFill="1" applyBorder="1" applyAlignment="1">
      <alignment horizontal="center" vertical="center" wrapText="1"/>
    </xf>
    <xf numFmtId="0" fontId="17" fillId="28" borderId="25" xfId="46" applyNumberFormat="1" applyFont="1" applyFill="1" applyBorder="1" applyAlignment="1">
      <alignment horizontal="center" vertical="center" wrapText="1"/>
    </xf>
    <xf numFmtId="0" fontId="21" fillId="33" borderId="26" xfId="46" applyNumberFormat="1" applyFont="1" applyFill="1" applyBorder="1" applyAlignment="1">
      <alignment horizontal="center" vertical="center" wrapText="1"/>
    </xf>
    <xf numFmtId="0" fontId="21" fillId="34" borderId="26" xfId="46" applyNumberFormat="1" applyFont="1" applyFill="1" applyBorder="1" applyAlignment="1">
      <alignment horizontal="center" vertical="center" wrapText="1"/>
    </xf>
    <xf numFmtId="0" fontId="1" fillId="0" borderId="11" xfId="46" applyNumberFormat="1" applyBorder="1" applyAlignment="1">
      <alignment horizontal="center" vertical="center"/>
    </xf>
    <xf numFmtId="0" fontId="3" fillId="0" borderId="25" xfId="46" applyNumberFormat="1" applyFont="1" applyBorder="1" applyAlignment="1">
      <alignment horizontal="center" vertical="center" wrapText="1"/>
    </xf>
    <xf numFmtId="0" fontId="3" fillId="0" borderId="25" xfId="46" applyNumberFormat="1" applyFont="1" applyBorder="1" applyAlignment="1">
      <alignment horizontal="center" vertical="center"/>
    </xf>
    <xf numFmtId="0" fontId="6" fillId="0" borderId="25" xfId="46" applyNumberFormat="1" applyFont="1" applyBorder="1" applyAlignment="1">
      <alignment horizontal="center" vertical="center" wrapText="1"/>
    </xf>
    <xf numFmtId="0" fontId="1" fillId="0" borderId="0" xfId="46" applyNumberFormat="1" applyAlignment="1">
      <alignment vertical="center"/>
    </xf>
    <xf numFmtId="165" fontId="19" fillId="0" borderId="11" xfId="46" applyNumberFormat="1" applyFont="1" applyFill="1" applyBorder="1" applyAlignment="1">
      <alignment wrapText="1"/>
    </xf>
    <xf numFmtId="3" fontId="15" fillId="31" borderId="24" xfId="46" applyNumberFormat="1" applyFont="1" applyFill="1" applyBorder="1" applyAlignment="1">
      <alignment wrapText="1"/>
    </xf>
    <xf numFmtId="3" fontId="15" fillId="0" borderId="15" xfId="46" applyNumberFormat="1" applyFont="1" applyFill="1" applyBorder="1" applyAlignment="1">
      <alignment wrapText="1"/>
    </xf>
    <xf numFmtId="3" fontId="17" fillId="0" borderId="14" xfId="46" applyNumberFormat="1" applyFont="1" applyFill="1" applyBorder="1"/>
    <xf numFmtId="165" fontId="1" fillId="24" borderId="10" xfId="46" applyNumberFormat="1" applyFill="1" applyBorder="1"/>
    <xf numFmtId="0" fontId="1" fillId="0" borderId="0" xfId="46" applyNumberFormat="1" applyFont="1" applyFill="1" applyBorder="1"/>
    <xf numFmtId="0" fontId="3" fillId="0" borderId="0" xfId="46" applyNumberFormat="1" applyFont="1" applyFill="1" applyBorder="1"/>
    <xf numFmtId="0" fontId="3" fillId="0" borderId="0" xfId="46" applyNumberFormat="1" applyFont="1" applyFill="1" applyBorder="1" applyAlignment="1"/>
    <xf numFmtId="0" fontId="1" fillId="0" borderId="0" xfId="46" applyNumberFormat="1" applyBorder="1" applyAlignment="1"/>
    <xf numFmtId="0" fontId="4" fillId="0" borderId="0" xfId="46" applyNumberFormat="1" applyFont="1" applyFill="1" applyBorder="1"/>
    <xf numFmtId="0" fontId="15" fillId="0" borderId="11" xfId="0" applyFont="1" applyBorder="1" applyAlignment="1">
      <alignment horizontal="center" vertical="center" wrapText="1"/>
    </xf>
    <xf numFmtId="0" fontId="19" fillId="0" borderId="21" xfId="0" applyFont="1" applyBorder="1"/>
    <xf numFmtId="0" fontId="15" fillId="0" borderId="15" xfId="0" applyFont="1" applyFill="1" applyBorder="1"/>
    <xf numFmtId="0" fontId="15" fillId="30" borderId="14" xfId="0" applyFont="1" applyFill="1" applyBorder="1"/>
    <xf numFmtId="3" fontId="1" fillId="0" borderId="0" xfId="46" applyNumberFormat="1" applyFont="1" applyAlignment="1"/>
    <xf numFmtId="9" fontId="1" fillId="0" borderId="0" xfId="54" applyAlignment="1"/>
    <xf numFmtId="3" fontId="1" fillId="0" borderId="15" xfId="46" applyNumberFormat="1" applyBorder="1"/>
    <xf numFmtId="0" fontId="1" fillId="0" borderId="0" xfId="46" applyNumberFormat="1" applyFont="1"/>
    <xf numFmtId="0" fontId="1" fillId="0" borderId="0" xfId="46" applyNumberFormat="1" applyFont="1" applyAlignment="1"/>
    <xf numFmtId="10" fontId="1" fillId="0" borderId="0" xfId="46" applyNumberFormat="1" applyFill="1" applyBorder="1"/>
    <xf numFmtId="0" fontId="15" fillId="0" borderId="11" xfId="0" applyFont="1" applyFill="1" applyBorder="1"/>
    <xf numFmtId="0" fontId="12" fillId="0" borderId="0" xfId="0" applyFont="1"/>
    <xf numFmtId="0" fontId="12" fillId="0" borderId="0" xfId="46" applyNumberFormat="1" applyFont="1"/>
    <xf numFmtId="10" fontId="1" fillId="0" borderId="27" xfId="54" applyNumberFormat="1" applyFill="1" applyBorder="1"/>
    <xf numFmtId="0" fontId="10" fillId="0" borderId="0" xfId="46" applyNumberFormat="1" applyFont="1" applyFill="1"/>
    <xf numFmtId="10" fontId="1" fillId="0" borderId="0" xfId="54" applyNumberFormat="1" applyFill="1" applyBorder="1"/>
    <xf numFmtId="0" fontId="1" fillId="0" borderId="21" xfId="46" applyNumberFormat="1" applyFont="1" applyBorder="1"/>
    <xf numFmtId="3" fontId="1" fillId="0" borderId="14" xfId="46" applyNumberFormat="1" applyBorder="1"/>
    <xf numFmtId="166" fontId="1" fillId="0" borderId="27" xfId="54" applyNumberFormat="1" applyBorder="1" applyAlignment="1">
      <alignment horizontal="right"/>
    </xf>
    <xf numFmtId="10" fontId="1" fillId="0" borderId="27" xfId="54" applyNumberFormat="1" applyFill="1" applyBorder="1" applyAlignment="1">
      <alignment horizontal="center"/>
    </xf>
    <xf numFmtId="0" fontId="1" fillId="0" borderId="22" xfId="46" applyNumberFormat="1" applyFont="1" applyFill="1" applyBorder="1"/>
    <xf numFmtId="3" fontId="1" fillId="0" borderId="28" xfId="46" applyNumberFormat="1" applyBorder="1"/>
    <xf numFmtId="10" fontId="1" fillId="0" borderId="28" xfId="54" applyNumberFormat="1" applyFill="1" applyBorder="1"/>
    <xf numFmtId="0" fontId="1" fillId="0" borderId="18" xfId="46" applyNumberFormat="1" applyBorder="1"/>
    <xf numFmtId="0" fontId="3" fillId="0" borderId="29" xfId="46" applyNumberFormat="1" applyFont="1" applyBorder="1" applyAlignment="1">
      <alignment horizontal="center" vertical="center" wrapText="1"/>
    </xf>
    <xf numFmtId="0" fontId="3" fillId="0" borderId="26" xfId="46" applyNumberFormat="1" applyFont="1" applyBorder="1" applyAlignment="1">
      <alignment vertical="center"/>
    </xf>
    <xf numFmtId="0" fontId="1" fillId="0" borderId="14" xfId="46" applyNumberFormat="1" applyFont="1" applyBorder="1"/>
    <xf numFmtId="0" fontId="1" fillId="0" borderId="30" xfId="46" applyNumberFormat="1" applyFont="1" applyBorder="1"/>
    <xf numFmtId="0" fontId="1" fillId="0" borderId="31" xfId="46" applyNumberFormat="1" applyFont="1" applyBorder="1"/>
    <xf numFmtId="0" fontId="3" fillId="0" borderId="15" xfId="46" applyNumberFormat="1" applyFont="1" applyFill="1" applyBorder="1"/>
    <xf numFmtId="3" fontId="3" fillId="0" borderId="32" xfId="46" applyNumberFormat="1" applyFont="1" applyFill="1" applyBorder="1"/>
    <xf numFmtId="3" fontId="3" fillId="0" borderId="15" xfId="46" applyNumberFormat="1" applyFont="1" applyFill="1" applyBorder="1"/>
    <xf numFmtId="0" fontId="3" fillId="26" borderId="15" xfId="46" applyNumberFormat="1" applyFont="1" applyFill="1" applyBorder="1" applyAlignment="1">
      <alignment vertical="top"/>
    </xf>
    <xf numFmtId="0" fontId="3" fillId="0" borderId="15" xfId="46" applyNumberFormat="1" applyFont="1" applyFill="1" applyBorder="1" applyAlignment="1">
      <alignment vertical="top"/>
    </xf>
    <xf numFmtId="0" fontId="1" fillId="36" borderId="15" xfId="46" quotePrefix="1" applyNumberFormat="1" applyFont="1" applyFill="1" applyBorder="1" applyAlignment="1">
      <alignment vertical="top"/>
    </xf>
    <xf numFmtId="0" fontId="1" fillId="0" borderId="33" xfId="46" applyNumberFormat="1" applyFont="1" applyFill="1" applyBorder="1" applyAlignment="1">
      <alignment vertical="top"/>
    </xf>
    <xf numFmtId="0" fontId="3" fillId="0" borderId="11" xfId="46" applyNumberFormat="1" applyFont="1" applyBorder="1" applyAlignment="1">
      <alignment vertical="center" textRotation="90" wrapText="1"/>
    </xf>
    <xf numFmtId="0" fontId="62" fillId="0" borderId="0" xfId="46" applyNumberFormat="1" applyFont="1"/>
    <xf numFmtId="0" fontId="1" fillId="0" borderId="15" xfId="46" quotePrefix="1" applyNumberFormat="1" applyFont="1" applyBorder="1"/>
    <xf numFmtId="0" fontId="63" fillId="0" borderId="0" xfId="46" applyNumberFormat="1" applyFont="1" applyFill="1"/>
    <xf numFmtId="0" fontId="1" fillId="0" borderId="0" xfId="0" applyFont="1"/>
    <xf numFmtId="0" fontId="1" fillId="0" borderId="17" xfId="0" applyFont="1" applyBorder="1"/>
    <xf numFmtId="0" fontId="1" fillId="40" borderId="11" xfId="0" applyFont="1" applyFill="1" applyBorder="1"/>
    <xf numFmtId="165" fontId="1" fillId="40" borderId="11" xfId="0" applyNumberFormat="1" applyFont="1" applyFill="1" applyBorder="1"/>
    <xf numFmtId="0" fontId="1" fillId="0" borderId="23" xfId="0" applyFont="1" applyBorder="1"/>
    <xf numFmtId="165" fontId="1" fillId="0" borderId="23" xfId="0" applyNumberFormat="1" applyFont="1" applyBorder="1"/>
    <xf numFmtId="0" fontId="1" fillId="0" borderId="11" xfId="0" applyFont="1" applyBorder="1"/>
    <xf numFmtId="0" fontId="1" fillId="0" borderId="11" xfId="0" applyFont="1" applyFill="1" applyBorder="1"/>
    <xf numFmtId="0" fontId="3" fillId="0" borderId="11" xfId="0" applyFont="1" applyFill="1" applyBorder="1"/>
    <xf numFmtId="165" fontId="3" fillId="0" borderId="11" xfId="0" applyNumberFormat="1" applyFont="1" applyFill="1" applyBorder="1"/>
    <xf numFmtId="171" fontId="3" fillId="0" borderId="11" xfId="0" applyNumberFormat="1" applyFont="1" applyFill="1" applyBorder="1"/>
    <xf numFmtId="165" fontId="1" fillId="0" borderId="11" xfId="0" applyNumberFormat="1" applyFont="1" applyFill="1" applyBorder="1"/>
    <xf numFmtId="43" fontId="1" fillId="0" borderId="0" xfId="0" applyNumberFormat="1" applyFont="1"/>
    <xf numFmtId="165" fontId="1" fillId="0" borderId="0" xfId="46" applyNumberFormat="1" applyFont="1"/>
    <xf numFmtId="0" fontId="1" fillId="0" borderId="0" xfId="0" applyFont="1" applyBorder="1"/>
    <xf numFmtId="166" fontId="1" fillId="0" borderId="0" xfId="54" applyNumberFormat="1" applyFont="1" applyBorder="1"/>
    <xf numFmtId="166" fontId="1" fillId="0" borderId="0" xfId="54" applyNumberFormat="1" applyFont="1" applyBorder="1" applyAlignment="1">
      <alignment horizontal="center"/>
    </xf>
    <xf numFmtId="165" fontId="1" fillId="0" borderId="34" xfId="46" applyNumberFormat="1" applyFont="1" applyBorder="1"/>
    <xf numFmtId="0" fontId="1" fillId="0" borderId="34" xfId="0" applyFont="1" applyBorder="1"/>
    <xf numFmtId="0" fontId="3" fillId="0" borderId="0" xfId="0" applyFont="1" applyAlignment="1">
      <alignment horizontal="right"/>
    </xf>
    <xf numFmtId="170" fontId="3" fillId="0" borderId="11" xfId="46" applyNumberFormat="1" applyFont="1" applyBorder="1"/>
    <xf numFmtId="0" fontId="65" fillId="42" borderId="124" xfId="46" applyNumberFormat="1" applyFont="1" applyFill="1" applyBorder="1" applyAlignment="1">
      <alignment horizontal="center" vertical="center" wrapText="1"/>
    </xf>
    <xf numFmtId="0" fontId="64" fillId="42" borderId="123" xfId="0" applyFont="1" applyFill="1" applyBorder="1"/>
    <xf numFmtId="0" fontId="64" fillId="42" borderId="125" xfId="0" applyFont="1" applyFill="1" applyBorder="1"/>
    <xf numFmtId="0" fontId="1" fillId="0" borderId="11" xfId="46" applyNumberFormat="1" applyFont="1" applyFill="1" applyBorder="1"/>
    <xf numFmtId="0" fontId="1" fillId="0" borderId="14" xfId="46" applyNumberFormat="1" applyBorder="1"/>
    <xf numFmtId="166" fontId="1" fillId="0" borderId="11" xfId="54" applyNumberFormat="1" applyBorder="1" applyAlignment="1">
      <alignment horizontal="right"/>
    </xf>
    <xf numFmtId="10" fontId="1" fillId="0" borderId="11" xfId="46" applyNumberFormat="1" applyFill="1" applyBorder="1" applyAlignment="1">
      <alignment horizontal="right"/>
    </xf>
    <xf numFmtId="0" fontId="24" fillId="0" borderId="0" xfId="46" applyNumberFormat="1" applyFont="1"/>
    <xf numFmtId="0" fontId="1" fillId="0" borderId="27" xfId="46" applyNumberFormat="1" applyFont="1" applyBorder="1"/>
    <xf numFmtId="0" fontId="15" fillId="0" borderId="22" xfId="0" applyFont="1" applyBorder="1"/>
    <xf numFmtId="0" fontId="15" fillId="0" borderId="15" xfId="0" applyFont="1" applyBorder="1" applyAlignment="1">
      <alignment horizontal="center" wrapText="1"/>
    </xf>
    <xf numFmtId="0" fontId="1" fillId="0" borderId="35" xfId="46" applyNumberFormat="1" applyBorder="1" applyAlignment="1"/>
    <xf numFmtId="0" fontId="1" fillId="0" borderId="36" xfId="46" applyNumberFormat="1" applyBorder="1"/>
    <xf numFmtId="3" fontId="1" fillId="0" borderId="11" xfId="0" applyNumberFormat="1" applyFont="1" applyBorder="1"/>
    <xf numFmtId="0" fontId="25" fillId="0" borderId="0" xfId="46" applyNumberFormat="1" applyFont="1"/>
    <xf numFmtId="3" fontId="1" fillId="0" borderId="37" xfId="46" applyNumberFormat="1" applyFill="1" applyBorder="1" applyAlignment="1">
      <alignment horizontal="right"/>
    </xf>
    <xf numFmtId="0" fontId="15" fillId="0" borderId="19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20" xfId="0" applyFont="1" applyFill="1" applyBorder="1" applyAlignment="1">
      <alignment horizontal="center"/>
    </xf>
    <xf numFmtId="3" fontId="1" fillId="0" borderId="18" xfId="46" applyNumberFormat="1" applyBorder="1"/>
    <xf numFmtId="0" fontId="1" fillId="0" borderId="33" xfId="46" applyNumberFormat="1" applyFont="1" applyBorder="1"/>
    <xf numFmtId="0" fontId="1" fillId="0" borderId="31" xfId="46" applyNumberFormat="1" applyFont="1" applyBorder="1" applyAlignment="1">
      <alignment horizontal="center" vertical="top" wrapText="1"/>
    </xf>
    <xf numFmtId="0" fontId="15" fillId="0" borderId="18" xfId="0" applyFont="1" applyFill="1" applyBorder="1"/>
    <xf numFmtId="0" fontId="66" fillId="0" borderId="0" xfId="0" applyFont="1" applyAlignment="1">
      <alignment horizontal="right"/>
    </xf>
    <xf numFmtId="0" fontId="67" fillId="0" borderId="0" xfId="0" applyFont="1"/>
    <xf numFmtId="3" fontId="15" fillId="0" borderId="24" xfId="46" applyNumberFormat="1" applyFont="1" applyFill="1" applyBorder="1" applyAlignment="1">
      <alignment wrapText="1"/>
    </xf>
    <xf numFmtId="3" fontId="15" fillId="0" borderId="11" xfId="46" applyNumberFormat="1" applyFont="1" applyFill="1" applyBorder="1" applyAlignment="1">
      <alignment wrapText="1"/>
    </xf>
    <xf numFmtId="0" fontId="1" fillId="0" borderId="0" xfId="0" applyFont="1" applyFill="1" applyBorder="1" applyAlignment="1">
      <alignment horizontal="left" vertical="center" wrapText="1"/>
    </xf>
    <xf numFmtId="3" fontId="1" fillId="0" borderId="38" xfId="46" applyNumberFormat="1" applyFill="1" applyBorder="1" applyAlignment="1">
      <alignment wrapText="1"/>
    </xf>
    <xf numFmtId="3" fontId="1" fillId="0" borderId="24" xfId="46" applyNumberFormat="1" applyFill="1" applyBorder="1" applyAlignment="1">
      <alignment wrapText="1"/>
    </xf>
    <xf numFmtId="3" fontId="1" fillId="0" borderId="24" xfId="46" applyNumberFormat="1" applyFill="1" applyBorder="1"/>
    <xf numFmtId="3" fontId="1" fillId="0" borderId="39" xfId="46" applyNumberFormat="1" applyFill="1" applyBorder="1" applyAlignment="1">
      <alignment wrapText="1"/>
    </xf>
    <xf numFmtId="3" fontId="1" fillId="0" borderId="10" xfId="46" applyNumberFormat="1" applyFill="1" applyBorder="1" applyAlignment="1">
      <alignment wrapText="1"/>
    </xf>
    <xf numFmtId="3" fontId="1" fillId="0" borderId="11" xfId="46" applyNumberFormat="1" applyFill="1" applyBorder="1" applyAlignment="1">
      <alignment wrapText="1"/>
    </xf>
    <xf numFmtId="165" fontId="1" fillId="0" borderId="0" xfId="46" applyNumberFormat="1" applyFill="1"/>
    <xf numFmtId="165" fontId="1" fillId="0" borderId="11" xfId="46" applyNumberFormat="1" applyFill="1" applyBorder="1"/>
    <xf numFmtId="9" fontId="4" fillId="0" borderId="11" xfId="54" applyFont="1" applyFill="1" applyBorder="1"/>
    <xf numFmtId="0" fontId="1" fillId="0" borderId="37" xfId="46" applyNumberFormat="1" applyFill="1" applyBorder="1" applyAlignment="1">
      <alignment horizontal="center"/>
    </xf>
    <xf numFmtId="9" fontId="1" fillId="0" borderId="37" xfId="46" applyNumberFormat="1" applyFill="1" applyBorder="1"/>
    <xf numFmtId="0" fontId="64" fillId="42" borderId="126" xfId="0" applyFont="1" applyFill="1" applyBorder="1" applyAlignment="1">
      <alignment vertical="center"/>
    </xf>
    <xf numFmtId="0" fontId="64" fillId="42" borderId="127" xfId="0" applyFont="1" applyFill="1" applyBorder="1" applyAlignment="1">
      <alignment vertical="center"/>
    </xf>
    <xf numFmtId="10" fontId="67" fillId="0" borderId="0" xfId="54" applyNumberFormat="1" applyFont="1" applyFill="1" applyBorder="1"/>
    <xf numFmtId="0" fontId="67" fillId="0" borderId="0" xfId="46" applyNumberFormat="1" applyFont="1" applyAlignment="1"/>
    <xf numFmtId="3" fontId="67" fillId="0" borderId="0" xfId="46" applyNumberFormat="1" applyFont="1" applyFill="1" applyBorder="1" applyAlignment="1"/>
    <xf numFmtId="0" fontId="67" fillId="0" borderId="0" xfId="46" applyNumberFormat="1" applyFont="1"/>
    <xf numFmtId="3" fontId="15" fillId="0" borderId="21" xfId="46" applyNumberFormat="1" applyFont="1" applyFill="1" applyBorder="1" applyAlignment="1">
      <alignment wrapText="1"/>
    </xf>
    <xf numFmtId="3" fontId="68" fillId="0" borderId="11" xfId="46" applyNumberFormat="1" applyFont="1" applyFill="1" applyBorder="1" applyAlignment="1">
      <alignment wrapText="1"/>
    </xf>
    <xf numFmtId="3" fontId="68" fillId="0" borderId="24" xfId="46" applyNumberFormat="1" applyFont="1" applyFill="1" applyBorder="1" applyAlignment="1">
      <alignment wrapText="1"/>
    </xf>
    <xf numFmtId="3" fontId="68" fillId="0" borderId="24" xfId="46" applyNumberFormat="1" applyFont="1" applyBorder="1" applyAlignment="1">
      <alignment wrapText="1"/>
    </xf>
    <xf numFmtId="3" fontId="68" fillId="0" borderId="11" xfId="46" applyNumberFormat="1" applyFont="1" applyFill="1" applyBorder="1" applyAlignment="1"/>
    <xf numFmtId="3" fontId="68" fillId="0" borderId="22" xfId="46" applyNumberFormat="1" applyFont="1" applyFill="1" applyBorder="1" applyAlignment="1"/>
    <xf numFmtId="3" fontId="68" fillId="0" borderId="11" xfId="46" applyNumberFormat="1" applyFont="1" applyFill="1" applyBorder="1"/>
    <xf numFmtId="3" fontId="1" fillId="0" borderId="15" xfId="46" applyNumberFormat="1" applyFont="1" applyBorder="1"/>
    <xf numFmtId="0" fontId="1" fillId="0" borderId="28" xfId="46" applyNumberFormat="1" applyFont="1" applyBorder="1"/>
    <xf numFmtId="0" fontId="1" fillId="0" borderId="37" xfId="46" applyNumberFormat="1" applyFont="1" applyBorder="1"/>
    <xf numFmtId="0" fontId="1" fillId="0" borderId="37" xfId="46" applyNumberFormat="1" applyFont="1" applyFill="1" applyBorder="1" applyAlignment="1">
      <alignment horizontal="center"/>
    </xf>
    <xf numFmtId="172" fontId="1" fillId="0" borderId="17" xfId="46" applyNumberFormat="1" applyFont="1" applyFill="1" applyBorder="1"/>
    <xf numFmtId="10" fontId="1" fillId="0" borderId="37" xfId="46" applyNumberFormat="1" applyFill="1" applyBorder="1" applyAlignment="1">
      <alignment horizontal="right"/>
    </xf>
    <xf numFmtId="0" fontId="1" fillId="0" borderId="11" xfId="46" applyNumberFormat="1" applyFont="1" applyBorder="1"/>
    <xf numFmtId="0" fontId="1" fillId="0" borderId="24" xfId="46" applyNumberFormat="1" applyFont="1" applyBorder="1"/>
    <xf numFmtId="0" fontId="1" fillId="0" borderId="24" xfId="46" applyNumberFormat="1" applyBorder="1"/>
    <xf numFmtId="0" fontId="1" fillId="0" borderId="37" xfId="46" applyNumberFormat="1" applyBorder="1" applyAlignment="1">
      <alignment horizontal="center" wrapText="1"/>
    </xf>
    <xf numFmtId="172" fontId="1" fillId="0" borderId="40" xfId="46" applyNumberFormat="1" applyFont="1" applyFill="1" applyBorder="1"/>
    <xf numFmtId="0" fontId="1" fillId="0" borderId="40" xfId="46" applyNumberFormat="1" applyFont="1" applyBorder="1"/>
    <xf numFmtId="0" fontId="1" fillId="0" borderId="30" xfId="46" applyNumberFormat="1" applyBorder="1"/>
    <xf numFmtId="3" fontId="1" fillId="0" borderId="30" xfId="46" applyNumberFormat="1" applyBorder="1"/>
    <xf numFmtId="0" fontId="1" fillId="0" borderId="40" xfId="46" applyNumberFormat="1" applyBorder="1" applyAlignment="1">
      <alignment horizontal="center" wrapText="1"/>
    </xf>
    <xf numFmtId="0" fontId="17" fillId="0" borderId="29" xfId="46" applyNumberFormat="1" applyFont="1" applyBorder="1" applyAlignment="1">
      <alignment horizontal="center" vertical="center" wrapText="1"/>
    </xf>
    <xf numFmtId="0" fontId="17" fillId="0" borderId="25" xfId="46" applyNumberFormat="1" applyFont="1" applyBorder="1" applyAlignment="1">
      <alignment horizontal="center" vertical="center" wrapText="1"/>
    </xf>
    <xf numFmtId="0" fontId="21" fillId="37" borderId="26" xfId="46" applyNumberFormat="1" applyFont="1" applyFill="1" applyBorder="1" applyAlignment="1">
      <alignment horizontal="center" vertical="center" wrapText="1"/>
    </xf>
    <xf numFmtId="0" fontId="15" fillId="0" borderId="41" xfId="46" applyNumberFormat="1" applyFont="1" applyFill="1" applyBorder="1" applyAlignment="1">
      <alignment horizontal="center" vertical="center" wrapText="1"/>
    </xf>
    <xf numFmtId="0" fontId="15" fillId="0" borderId="10" xfId="46" applyNumberFormat="1" applyFont="1" applyBorder="1" applyAlignment="1">
      <alignment vertical="center"/>
    </xf>
    <xf numFmtId="0" fontId="1" fillId="40" borderId="15" xfId="46" applyNumberFormat="1" applyFont="1" applyFill="1" applyBorder="1"/>
    <xf numFmtId="0" fontId="1" fillId="40" borderId="33" xfId="46" applyNumberFormat="1" applyFont="1" applyFill="1" applyBorder="1"/>
    <xf numFmtId="0" fontId="1" fillId="40" borderId="43" xfId="46" applyNumberFormat="1" applyFont="1" applyFill="1" applyBorder="1"/>
    <xf numFmtId="0" fontId="1" fillId="40" borderId="44" xfId="46" applyNumberFormat="1" applyFont="1" applyFill="1" applyBorder="1" applyAlignment="1">
      <alignment horizontal="right"/>
    </xf>
    <xf numFmtId="0" fontId="1" fillId="40" borderId="46" xfId="46" applyNumberFormat="1" applyFont="1" applyFill="1" applyBorder="1"/>
    <xf numFmtId="0" fontId="1" fillId="40" borderId="47" xfId="46" applyNumberFormat="1" applyFont="1" applyFill="1" applyBorder="1"/>
    <xf numFmtId="0" fontId="1" fillId="40" borderId="21" xfId="46" applyNumberFormat="1" applyFont="1" applyFill="1" applyBorder="1"/>
    <xf numFmtId="0" fontId="1" fillId="40" borderId="14" xfId="46" applyNumberFormat="1" applyFont="1" applyFill="1" applyBorder="1"/>
    <xf numFmtId="0" fontId="1" fillId="40" borderId="22" xfId="46" applyNumberFormat="1" applyFont="1" applyFill="1" applyBorder="1"/>
    <xf numFmtId="0" fontId="1" fillId="40" borderId="31" xfId="46" applyNumberFormat="1" applyFont="1" applyFill="1" applyBorder="1" applyAlignment="1">
      <alignment horizontal="center" vertical="top" wrapText="1"/>
    </xf>
    <xf numFmtId="0" fontId="1" fillId="40" borderId="0" xfId="46" applyNumberFormat="1" applyFill="1" applyAlignment="1"/>
    <xf numFmtId="0" fontId="8" fillId="40" borderId="0" xfId="46" applyNumberFormat="1" applyFont="1" applyFill="1" applyAlignment="1"/>
    <xf numFmtId="0" fontId="1" fillId="40" borderId="12" xfId="46" applyNumberFormat="1" applyFont="1" applyFill="1" applyBorder="1" applyAlignment="1"/>
    <xf numFmtId="0" fontId="69" fillId="40" borderId="25" xfId="46" applyNumberFormat="1" applyFont="1" applyFill="1" applyBorder="1" applyAlignment="1">
      <alignment horizontal="center" vertical="center" wrapText="1"/>
    </xf>
    <xf numFmtId="0" fontId="15" fillId="40" borderId="41" xfId="46" applyNumberFormat="1" applyFont="1" applyFill="1" applyBorder="1" applyAlignment="1">
      <alignment horizontal="center" vertical="center" wrapText="1"/>
    </xf>
    <xf numFmtId="0" fontId="15" fillId="40" borderId="20" xfId="0" applyFont="1" applyFill="1" applyBorder="1"/>
    <xf numFmtId="0" fontId="15" fillId="40" borderId="14" xfId="0" applyFont="1" applyFill="1" applyBorder="1"/>
    <xf numFmtId="0" fontId="19" fillId="40" borderId="22" xfId="0" applyFont="1" applyFill="1" applyBorder="1"/>
    <xf numFmtId="0" fontId="1" fillId="40" borderId="0" xfId="0" applyFont="1" applyFill="1"/>
    <xf numFmtId="0" fontId="1" fillId="40" borderId="34" xfId="0" applyFont="1" applyFill="1" applyBorder="1"/>
    <xf numFmtId="0" fontId="10" fillId="40" borderId="0" xfId="0" applyFont="1" applyFill="1" applyAlignment="1">
      <alignment vertical="top"/>
    </xf>
    <xf numFmtId="0" fontId="18" fillId="40" borderId="0" xfId="46" applyNumberFormat="1" applyFont="1" applyFill="1" applyBorder="1" applyAlignment="1">
      <alignment horizontal="center" vertical="center" wrapText="1"/>
    </xf>
    <xf numFmtId="165" fontId="1" fillId="40" borderId="0" xfId="46" applyNumberFormat="1" applyFont="1" applyFill="1"/>
    <xf numFmtId="0" fontId="3" fillId="40" borderId="0" xfId="0" applyFont="1" applyFill="1" applyAlignment="1">
      <alignment horizontal="right"/>
    </xf>
    <xf numFmtId="3" fontId="67" fillId="0" borderId="23" xfId="0" applyNumberFormat="1" applyFont="1" applyBorder="1"/>
    <xf numFmtId="0" fontId="67" fillId="40" borderId="0" xfId="0" applyFont="1" applyFill="1"/>
    <xf numFmtId="0" fontId="10" fillId="40" borderId="0" xfId="0" applyFont="1" applyFill="1" applyAlignment="1">
      <alignment horizontal="center"/>
    </xf>
    <xf numFmtId="0" fontId="10" fillId="0" borderId="0" xfId="0" applyFont="1" applyFill="1" applyBorder="1"/>
    <xf numFmtId="0" fontId="27" fillId="0" borderId="0" xfId="0" applyFont="1"/>
    <xf numFmtId="0" fontId="10" fillId="40" borderId="0" xfId="0" applyFont="1" applyFill="1"/>
    <xf numFmtId="0" fontId="10" fillId="0" borderId="0" xfId="0" applyFont="1" applyAlignment="1">
      <alignment horizontal="center" vertical="top"/>
    </xf>
    <xf numFmtId="0" fontId="65" fillId="42" borderId="128" xfId="46" applyNumberFormat="1" applyFont="1" applyFill="1" applyBorder="1" applyAlignment="1">
      <alignment horizontal="center" vertical="center" wrapText="1"/>
    </xf>
    <xf numFmtId="165" fontId="65" fillId="42" borderId="128" xfId="46" applyNumberFormat="1" applyFont="1" applyFill="1" applyBorder="1" applyAlignment="1">
      <alignment horizontal="center" vertical="center" wrapText="1"/>
    </xf>
    <xf numFmtId="0" fontId="30" fillId="0" borderId="0" xfId="57" applyFont="1" applyProtection="1"/>
    <xf numFmtId="0" fontId="1" fillId="0" borderId="0" xfId="46" applyNumberFormat="1" applyAlignment="1">
      <alignment wrapText="1"/>
    </xf>
    <xf numFmtId="0" fontId="67" fillId="0" borderId="0" xfId="46" applyNumberFormat="1" applyFont="1" applyAlignment="1">
      <alignment wrapText="1"/>
    </xf>
    <xf numFmtId="0" fontId="1" fillId="0" borderId="0" xfId="0" applyFont="1" applyAlignment="1">
      <alignment horizontal="center" wrapText="1"/>
    </xf>
    <xf numFmtId="3" fontId="1" fillId="0" borderId="0" xfId="0" applyNumberFormat="1" applyFont="1"/>
    <xf numFmtId="3" fontId="15" fillId="35" borderId="11" xfId="46" applyNumberFormat="1" applyFont="1" applyFill="1" applyBorder="1" applyAlignment="1" applyProtection="1">
      <alignment wrapText="1"/>
      <protection locked="0"/>
    </xf>
    <xf numFmtId="3" fontId="15" fillId="35" borderId="24" xfId="46" applyNumberFormat="1" applyFont="1" applyFill="1" applyBorder="1" applyAlignment="1" applyProtection="1">
      <alignment wrapText="1"/>
      <protection locked="0"/>
    </xf>
    <xf numFmtId="3" fontId="15" fillId="25" borderId="24" xfId="46" applyNumberFormat="1" applyFont="1" applyFill="1" applyBorder="1" applyAlignment="1" applyProtection="1">
      <alignment wrapText="1"/>
      <protection locked="0"/>
    </xf>
    <xf numFmtId="3" fontId="15" fillId="35" borderId="11" xfId="46" applyNumberFormat="1" applyFont="1" applyFill="1" applyBorder="1" applyProtection="1">
      <protection locked="0"/>
    </xf>
    <xf numFmtId="3" fontId="15" fillId="25" borderId="11" xfId="46" applyNumberFormat="1" applyFont="1" applyFill="1" applyBorder="1" applyProtection="1">
      <protection locked="0"/>
    </xf>
    <xf numFmtId="0" fontId="8" fillId="0" borderId="0" xfId="46" applyNumberFormat="1" applyFont="1" applyBorder="1"/>
    <xf numFmtId="0" fontId="69" fillId="44" borderId="25" xfId="46" applyNumberFormat="1" applyFont="1" applyFill="1" applyBorder="1" applyAlignment="1">
      <alignment horizontal="center" vertical="center" wrapText="1"/>
    </xf>
    <xf numFmtId="165" fontId="1" fillId="0" borderId="0" xfId="46" applyNumberFormat="1" applyFont="1" applyBorder="1"/>
    <xf numFmtId="0" fontId="17" fillId="44" borderId="125" xfId="46" applyNumberFormat="1" applyFont="1" applyFill="1" applyBorder="1" applyAlignment="1">
      <alignment horizontal="center" vertical="center" wrapText="1"/>
    </xf>
    <xf numFmtId="165" fontId="68" fillId="36" borderId="11" xfId="46" applyNumberFormat="1" applyFont="1" applyFill="1" applyBorder="1"/>
    <xf numFmtId="165" fontId="68" fillId="0" borderId="49" xfId="46" applyNumberFormat="1" applyFont="1" applyFill="1" applyBorder="1"/>
    <xf numFmtId="0" fontId="1" fillId="40" borderId="0" xfId="0" applyFont="1" applyFill="1" applyBorder="1"/>
    <xf numFmtId="0" fontId="1" fillId="0" borderId="50" xfId="0" applyFont="1" applyFill="1" applyBorder="1" applyAlignment="1">
      <alignment vertical="top" wrapText="1"/>
    </xf>
    <xf numFmtId="0" fontId="1" fillId="0" borderId="51" xfId="0" applyFont="1" applyFill="1" applyBorder="1" applyAlignment="1">
      <alignment vertical="top" wrapText="1"/>
    </xf>
    <xf numFmtId="0" fontId="1" fillId="0" borderId="52" xfId="0" applyFont="1" applyFill="1" applyBorder="1" applyAlignment="1">
      <alignment vertical="top" wrapText="1"/>
    </xf>
    <xf numFmtId="0" fontId="1" fillId="4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53" xfId="0" applyFont="1" applyFill="1" applyBorder="1" applyAlignment="1">
      <alignment horizontal="left" vertical="top" indent="3"/>
    </xf>
    <xf numFmtId="0" fontId="1" fillId="45" borderId="54" xfId="0" applyFont="1" applyFill="1" applyBorder="1" applyAlignment="1">
      <alignment horizontal="left" vertical="top"/>
    </xf>
    <xf numFmtId="0" fontId="1" fillId="45" borderId="55" xfId="0" applyFont="1" applyFill="1" applyBorder="1" applyAlignment="1">
      <alignment horizontal="left" vertical="top"/>
    </xf>
    <xf numFmtId="0" fontId="1" fillId="45" borderId="50" xfId="0" applyFont="1" applyFill="1" applyBorder="1" applyAlignment="1">
      <alignment horizontal="left" vertical="top"/>
    </xf>
    <xf numFmtId="0" fontId="1" fillId="45" borderId="52" xfId="0" applyFont="1" applyFill="1" applyBorder="1" applyAlignment="1">
      <alignment horizontal="left" vertical="top"/>
    </xf>
    <xf numFmtId="0" fontId="10" fillId="0" borderId="0" xfId="0" applyFont="1" applyAlignment="1">
      <alignment horizontal="center" vertical="center"/>
    </xf>
    <xf numFmtId="0" fontId="3" fillId="45" borderId="22" xfId="0" applyFont="1" applyFill="1" applyBorder="1" applyAlignment="1">
      <alignment vertical="center" wrapText="1"/>
    </xf>
    <xf numFmtId="3" fontId="1" fillId="0" borderId="51" xfId="0" applyNumberFormat="1" applyFont="1" applyFill="1" applyBorder="1" applyAlignment="1">
      <alignment horizontal="left" vertical="top" indent="3"/>
    </xf>
    <xf numFmtId="0" fontId="1" fillId="45" borderId="27" xfId="0" applyFont="1" applyFill="1" applyBorder="1" applyAlignment="1">
      <alignment vertical="center" wrapText="1"/>
    </xf>
    <xf numFmtId="165" fontId="1" fillId="45" borderId="27" xfId="46" applyNumberFormat="1" applyFont="1" applyFill="1" applyBorder="1" applyAlignment="1">
      <alignment vertical="center" wrapText="1"/>
    </xf>
    <xf numFmtId="165" fontId="1" fillId="45" borderId="37" xfId="0" applyNumberFormat="1" applyFont="1" applyFill="1" applyBorder="1" applyAlignment="1">
      <alignment vertical="center" wrapText="1"/>
    </xf>
    <xf numFmtId="165" fontId="1" fillId="0" borderId="56" xfId="46" applyNumberFormat="1" applyFont="1" applyFill="1" applyBorder="1" applyAlignment="1">
      <alignment horizontal="left" vertical="top"/>
    </xf>
    <xf numFmtId="165" fontId="1" fillId="0" borderId="57" xfId="46" applyNumberFormat="1" applyFont="1" applyFill="1" applyBorder="1" applyAlignment="1">
      <alignment horizontal="left" vertical="top"/>
    </xf>
    <xf numFmtId="165" fontId="1" fillId="0" borderId="31" xfId="46" applyNumberFormat="1" applyFont="1" applyFill="1" applyBorder="1" applyAlignment="1">
      <alignment horizontal="left" vertical="top"/>
    </xf>
    <xf numFmtId="165" fontId="1" fillId="0" borderId="46" xfId="46" applyNumberFormat="1" applyFont="1" applyFill="1" applyBorder="1" applyAlignment="1">
      <alignment horizontal="left" vertical="top"/>
    </xf>
    <xf numFmtId="0" fontId="6" fillId="44" borderId="25" xfId="46" applyNumberFormat="1" applyFont="1" applyFill="1" applyBorder="1" applyAlignment="1">
      <alignment horizontal="center" vertical="center" wrapText="1"/>
    </xf>
    <xf numFmtId="3" fontId="1" fillId="0" borderId="38" xfId="46" applyNumberFormat="1" applyFont="1" applyFill="1" applyBorder="1" applyAlignment="1">
      <alignment wrapText="1"/>
    </xf>
    <xf numFmtId="3" fontId="1" fillId="0" borderId="24" xfId="46" applyNumberFormat="1" applyFont="1" applyFill="1" applyBorder="1" applyAlignment="1">
      <alignment wrapText="1"/>
    </xf>
    <xf numFmtId="3" fontId="1" fillId="0" borderId="24" xfId="46" applyNumberFormat="1" applyFont="1" applyBorder="1"/>
    <xf numFmtId="3" fontId="1" fillId="0" borderId="39" xfId="46" applyNumberFormat="1" applyFont="1" applyFill="1" applyBorder="1" applyAlignment="1">
      <alignment wrapText="1"/>
    </xf>
    <xf numFmtId="3" fontId="1" fillId="0" borderId="10" xfId="46" applyNumberFormat="1" applyFont="1" applyFill="1" applyBorder="1" applyAlignment="1">
      <alignment wrapText="1"/>
    </xf>
    <xf numFmtId="3" fontId="1" fillId="0" borderId="11" xfId="46" applyNumberFormat="1" applyFont="1" applyFill="1" applyBorder="1" applyAlignment="1">
      <alignment wrapText="1"/>
    </xf>
    <xf numFmtId="165" fontId="1" fillId="0" borderId="0" xfId="46" applyNumberFormat="1" applyFont="1" applyFill="1"/>
    <xf numFmtId="165" fontId="1" fillId="0" borderId="11" xfId="46" applyNumberFormat="1" applyFont="1" applyFill="1" applyBorder="1"/>
    <xf numFmtId="3" fontId="1" fillId="24" borderId="10" xfId="46" applyNumberFormat="1" applyFont="1" applyFill="1" applyBorder="1"/>
    <xf numFmtId="3" fontId="1" fillId="0" borderId="10" xfId="46" applyNumberFormat="1" applyFont="1" applyBorder="1"/>
    <xf numFmtId="9" fontId="1" fillId="0" borderId="11" xfId="54" applyFont="1" applyFill="1" applyBorder="1"/>
    <xf numFmtId="3" fontId="1" fillId="29" borderId="10" xfId="46" applyNumberFormat="1" applyFont="1" applyFill="1" applyBorder="1"/>
    <xf numFmtId="3" fontId="1" fillId="29" borderId="11" xfId="46" applyNumberFormat="1" applyFont="1" applyFill="1" applyBorder="1"/>
    <xf numFmtId="3" fontId="1" fillId="0" borderId="11" xfId="46" applyNumberFormat="1" applyFont="1" applyBorder="1"/>
    <xf numFmtId="3" fontId="1" fillId="0" borderId="18" xfId="46" applyNumberFormat="1" applyFont="1" applyBorder="1"/>
    <xf numFmtId="166" fontId="1" fillId="0" borderId="11" xfId="54" applyNumberFormat="1" applyFont="1" applyBorder="1" applyAlignment="1">
      <alignment horizontal="right"/>
    </xf>
    <xf numFmtId="10" fontId="1" fillId="0" borderId="11" xfId="46" applyNumberFormat="1" applyFont="1" applyFill="1" applyBorder="1" applyAlignment="1">
      <alignment horizontal="right"/>
    </xf>
    <xf numFmtId="3" fontId="68" fillId="24" borderId="11" xfId="46" applyNumberFormat="1" applyFont="1" applyFill="1" applyBorder="1"/>
    <xf numFmtId="3" fontId="68" fillId="24" borderId="11" xfId="46" applyNumberFormat="1" applyFont="1" applyFill="1" applyBorder="1" applyAlignment="1"/>
    <xf numFmtId="3" fontId="68" fillId="0" borderId="11" xfId="46" applyNumberFormat="1" applyFont="1" applyBorder="1"/>
    <xf numFmtId="3" fontId="68" fillId="0" borderId="11" xfId="46" applyNumberFormat="1" applyFont="1" applyBorder="1" applyAlignment="1"/>
    <xf numFmtId="3" fontId="70" fillId="24" borderId="11" xfId="46" applyNumberFormat="1" applyFont="1" applyFill="1" applyBorder="1"/>
    <xf numFmtId="3" fontId="70" fillId="24" borderId="11" xfId="46" applyNumberFormat="1" applyFont="1" applyFill="1" applyBorder="1" applyAlignment="1"/>
    <xf numFmtId="3" fontId="68" fillId="0" borderId="11" xfId="46" applyNumberFormat="1" applyFont="1" applyFill="1" applyBorder="1" applyAlignment="1"/>
    <xf numFmtId="3" fontId="68" fillId="0" borderId="24" xfId="46" applyNumberFormat="1" applyFont="1" applyFill="1" applyBorder="1" applyAlignment="1">
      <alignment wrapText="1"/>
    </xf>
    <xf numFmtId="3" fontId="68" fillId="0" borderId="11" xfId="46" applyNumberFormat="1" applyFont="1" applyFill="1" applyBorder="1"/>
    <xf numFmtId="3" fontId="70" fillId="24" borderId="22" xfId="46" applyNumberFormat="1" applyFont="1" applyFill="1" applyBorder="1"/>
    <xf numFmtId="3" fontId="68" fillId="29" borderId="11" xfId="46" applyNumberFormat="1" applyFont="1" applyFill="1" applyBorder="1"/>
    <xf numFmtId="3" fontId="68" fillId="29" borderId="22" xfId="46" applyNumberFormat="1" applyFont="1" applyFill="1" applyBorder="1" applyAlignment="1"/>
    <xf numFmtId="3" fontId="68" fillId="29" borderId="11" xfId="46" applyNumberFormat="1" applyFont="1" applyFill="1" applyBorder="1" applyAlignment="1"/>
    <xf numFmtId="3" fontId="68" fillId="0" borderId="22" xfId="46" applyNumberFormat="1" applyFont="1" applyFill="1" applyBorder="1"/>
    <xf numFmtId="3" fontId="70" fillId="0" borderId="11" xfId="46" applyNumberFormat="1" applyFont="1" applyFill="1" applyBorder="1" applyAlignment="1"/>
    <xf numFmtId="3" fontId="70" fillId="0" borderId="22" xfId="46" applyNumberFormat="1" applyFont="1" applyFill="1" applyBorder="1" applyAlignment="1"/>
    <xf numFmtId="3" fontId="68" fillId="0" borderId="24" xfId="46" applyNumberFormat="1" applyFont="1" applyFill="1" applyBorder="1" applyAlignment="1"/>
    <xf numFmtId="3" fontId="70" fillId="24" borderId="11" xfId="46" applyNumberFormat="1" applyFont="1" applyFill="1" applyBorder="1"/>
    <xf numFmtId="3" fontId="68" fillId="0" borderId="11" xfId="46" applyNumberFormat="1" applyFont="1" applyBorder="1"/>
    <xf numFmtId="3" fontId="68" fillId="0" borderId="19" xfId="46" applyNumberFormat="1" applyFont="1" applyFill="1" applyBorder="1" applyAlignment="1"/>
    <xf numFmtId="3" fontId="68" fillId="0" borderId="16" xfId="46" applyNumberFormat="1" applyFont="1" applyFill="1" applyBorder="1" applyAlignment="1"/>
    <xf numFmtId="10" fontId="68" fillId="0" borderId="11" xfId="46" applyNumberFormat="1" applyFont="1" applyFill="1" applyBorder="1"/>
    <xf numFmtId="10" fontId="68" fillId="0" borderId="11" xfId="46" applyNumberFormat="1" applyFont="1" applyFill="1" applyBorder="1"/>
    <xf numFmtId="10" fontId="68" fillId="0" borderId="0" xfId="46" applyNumberFormat="1" applyFont="1" applyFill="1" applyBorder="1"/>
    <xf numFmtId="173" fontId="68" fillId="0" borderId="11" xfId="46" applyNumberFormat="1" applyFont="1" applyFill="1" applyBorder="1"/>
    <xf numFmtId="165" fontId="68" fillId="0" borderId="11" xfId="46" applyNumberFormat="1" applyFont="1" applyFill="1" applyBorder="1"/>
    <xf numFmtId="3" fontId="68" fillId="0" borderId="20" xfId="46" applyNumberFormat="1" applyFont="1" applyFill="1" applyBorder="1" applyAlignment="1"/>
    <xf numFmtId="3" fontId="68" fillId="0" borderId="58" xfId="46" applyNumberFormat="1" applyFont="1" applyFill="1" applyBorder="1" applyAlignment="1"/>
    <xf numFmtId="3" fontId="70" fillId="0" borderId="19" xfId="46" applyNumberFormat="1" applyFont="1" applyFill="1" applyBorder="1"/>
    <xf numFmtId="3" fontId="70" fillId="0" borderId="0" xfId="46" applyNumberFormat="1" applyFont="1" applyFill="1" applyBorder="1"/>
    <xf numFmtId="3" fontId="70" fillId="0" borderId="58" xfId="46" applyNumberFormat="1" applyFont="1" applyFill="1" applyBorder="1" applyAlignment="1"/>
    <xf numFmtId="3" fontId="70" fillId="24" borderId="12" xfId="46" applyNumberFormat="1" applyFont="1" applyFill="1" applyBorder="1" applyAlignment="1"/>
    <xf numFmtId="3" fontId="70" fillId="0" borderId="49" xfId="46" applyNumberFormat="1" applyFont="1" applyFill="1" applyBorder="1" applyAlignment="1"/>
    <xf numFmtId="3" fontId="70" fillId="0" borderId="20" xfId="46" applyNumberFormat="1" applyFont="1" applyFill="1" applyBorder="1" applyAlignment="1"/>
    <xf numFmtId="3" fontId="70" fillId="0" borderId="0" xfId="46" applyNumberFormat="1" applyFont="1" applyFill="1" applyBorder="1" applyAlignment="1"/>
    <xf numFmtId="0" fontId="70" fillId="0" borderId="25" xfId="46" applyNumberFormat="1" applyFont="1" applyBorder="1" applyAlignment="1">
      <alignment horizontal="center" vertical="center" wrapText="1"/>
    </xf>
    <xf numFmtId="3" fontId="70" fillId="0" borderId="20" xfId="46" applyNumberFormat="1" applyFont="1" applyFill="1" applyBorder="1"/>
    <xf numFmtId="3" fontId="70" fillId="0" borderId="24" xfId="46" applyNumberFormat="1" applyFont="1" applyFill="1" applyBorder="1" applyAlignment="1"/>
    <xf numFmtId="3" fontId="70" fillId="0" borderId="11" xfId="46" applyNumberFormat="1" applyFont="1" applyFill="1" applyBorder="1" applyAlignment="1"/>
    <xf numFmtId="3" fontId="68" fillId="0" borderId="20" xfId="46" applyNumberFormat="1" applyFont="1" applyBorder="1"/>
    <xf numFmtId="3" fontId="68" fillId="0" borderId="0" xfId="46" applyNumberFormat="1" applyFont="1" applyBorder="1"/>
    <xf numFmtId="3" fontId="68" fillId="0" borderId="58" xfId="46" applyNumberFormat="1" applyFont="1" applyFill="1" applyBorder="1"/>
    <xf numFmtId="3" fontId="68" fillId="36" borderId="11" xfId="46" applyNumberFormat="1" applyFont="1" applyFill="1" applyBorder="1"/>
    <xf numFmtId="165" fontId="68" fillId="0" borderId="58" xfId="46" applyNumberFormat="1" applyFont="1" applyFill="1" applyBorder="1"/>
    <xf numFmtId="165" fontId="68" fillId="0" borderId="20" xfId="46" applyNumberFormat="1" applyFont="1" applyFill="1" applyBorder="1"/>
    <xf numFmtId="3" fontId="70" fillId="0" borderId="58" xfId="46" applyNumberFormat="1" applyFont="1" applyFill="1" applyBorder="1"/>
    <xf numFmtId="3" fontId="70" fillId="26" borderId="11" xfId="46" applyNumberFormat="1" applyFont="1" applyFill="1" applyBorder="1"/>
    <xf numFmtId="165" fontId="70" fillId="0" borderId="58" xfId="46" applyNumberFormat="1" applyFont="1" applyFill="1" applyBorder="1"/>
    <xf numFmtId="165" fontId="70" fillId="26" borderId="11" xfId="46" applyNumberFormat="1" applyFont="1" applyFill="1" applyBorder="1"/>
    <xf numFmtId="165" fontId="70" fillId="0" borderId="49" xfId="46" applyNumberFormat="1" applyFont="1" applyFill="1" applyBorder="1"/>
    <xf numFmtId="165" fontId="70" fillId="0" borderId="20" xfId="46" applyNumberFormat="1" applyFont="1" applyFill="1" applyBorder="1"/>
    <xf numFmtId="165" fontId="70" fillId="24" borderId="11" xfId="46" applyNumberFormat="1" applyFont="1" applyFill="1" applyBorder="1"/>
    <xf numFmtId="3" fontId="70" fillId="24" borderId="24" xfId="46" applyNumberFormat="1" applyFont="1" applyFill="1" applyBorder="1" applyAlignment="1">
      <alignment wrapText="1"/>
    </xf>
    <xf numFmtId="3" fontId="68" fillId="0" borderId="20" xfId="46" applyNumberFormat="1" applyFont="1" applyFill="1" applyBorder="1"/>
    <xf numFmtId="3" fontId="68" fillId="0" borderId="0" xfId="46" applyNumberFormat="1" applyFont="1" applyFill="1" applyBorder="1"/>
    <xf numFmtId="165" fontId="70" fillId="0" borderId="58" xfId="46" applyNumberFormat="1" applyFont="1" applyFill="1" applyBorder="1" applyAlignment="1"/>
    <xf numFmtId="165" fontId="70" fillId="0" borderId="49" xfId="46" applyNumberFormat="1" applyFont="1" applyFill="1" applyBorder="1" applyAlignment="1"/>
    <xf numFmtId="165" fontId="70" fillId="0" borderId="20" xfId="46" applyNumberFormat="1" applyFont="1" applyFill="1" applyBorder="1" applyAlignment="1"/>
    <xf numFmtId="165" fontId="70" fillId="24" borderId="11" xfId="46" applyNumberFormat="1" applyFont="1" applyFill="1" applyBorder="1" applyAlignment="1"/>
    <xf numFmtId="165" fontId="68" fillId="0" borderId="58" xfId="46" applyNumberFormat="1" applyFont="1" applyFill="1" applyBorder="1" applyAlignment="1"/>
    <xf numFmtId="165" fontId="68" fillId="0" borderId="49" xfId="46" applyNumberFormat="1" applyFont="1" applyFill="1" applyBorder="1" applyAlignment="1"/>
    <xf numFmtId="165" fontId="68" fillId="0" borderId="20" xfId="46" applyNumberFormat="1" applyFont="1" applyFill="1" applyBorder="1" applyAlignment="1"/>
    <xf numFmtId="3" fontId="70" fillId="38" borderId="11" xfId="46" applyNumberFormat="1" applyFont="1" applyFill="1" applyBorder="1" applyAlignment="1"/>
    <xf numFmtId="165" fontId="70" fillId="38" borderId="11" xfId="46" applyNumberFormat="1" applyFont="1" applyFill="1" applyBorder="1" applyAlignment="1"/>
    <xf numFmtId="0" fontId="68" fillId="0" borderId="20" xfId="46" applyNumberFormat="1" applyFont="1" applyBorder="1"/>
    <xf numFmtId="0" fontId="68" fillId="0" borderId="0" xfId="46" applyNumberFormat="1" applyFont="1" applyBorder="1"/>
    <xf numFmtId="0" fontId="68" fillId="0" borderId="11" xfId="46" applyNumberFormat="1" applyFont="1" applyBorder="1" applyAlignment="1"/>
    <xf numFmtId="165" fontId="68" fillId="0" borderId="11" xfId="46" applyNumberFormat="1" applyFont="1" applyBorder="1" applyAlignment="1"/>
    <xf numFmtId="165" fontId="68" fillId="0" borderId="11" xfId="46" applyNumberFormat="1" applyFont="1" applyBorder="1" applyAlignment="1"/>
    <xf numFmtId="165" fontId="70" fillId="0" borderId="11" xfId="46" applyNumberFormat="1" applyFont="1" applyFill="1" applyBorder="1" applyAlignment="1"/>
    <xf numFmtId="0" fontId="68" fillId="0" borderId="0" xfId="46" applyNumberFormat="1" applyFont="1"/>
    <xf numFmtId="0" fontId="68" fillId="0" borderId="0" xfId="46" applyNumberFormat="1" applyFont="1" applyAlignment="1"/>
    <xf numFmtId="0" fontId="71" fillId="0" borderId="0" xfId="46" applyNumberFormat="1" applyFont="1" applyAlignment="1"/>
    <xf numFmtId="0" fontId="68" fillId="0" borderId="0" xfId="46" applyNumberFormat="1" applyFont="1" applyBorder="1" applyAlignment="1"/>
    <xf numFmtId="0" fontId="68" fillId="0" borderId="59" xfId="46" applyNumberFormat="1" applyFont="1" applyBorder="1"/>
    <xf numFmtId="3" fontId="68" fillId="0" borderId="60" xfId="46" applyNumberFormat="1" applyFont="1" applyBorder="1" applyAlignment="1"/>
    <xf numFmtId="43" fontId="68" fillId="0" borderId="60" xfId="46" applyFont="1" applyFill="1" applyBorder="1" applyAlignment="1"/>
    <xf numFmtId="0" fontId="68" fillId="0" borderId="20" xfId="46" applyNumberFormat="1" applyFont="1" applyBorder="1" applyAlignment="1"/>
    <xf numFmtId="0" fontId="68" fillId="0" borderId="15" xfId="46" applyNumberFormat="1" applyFont="1" applyBorder="1"/>
    <xf numFmtId="0" fontId="68" fillId="0" borderId="15" xfId="46" applyNumberFormat="1" applyFont="1" applyBorder="1"/>
    <xf numFmtId="10" fontId="68" fillId="0" borderId="15" xfId="54" applyNumberFormat="1" applyFont="1" applyFill="1" applyBorder="1" applyAlignment="1"/>
    <xf numFmtId="3" fontId="68" fillId="0" borderId="15" xfId="46" applyNumberFormat="1" applyFont="1" applyFill="1" applyBorder="1" applyAlignment="1"/>
    <xf numFmtId="0" fontId="68" fillId="0" borderId="15" xfId="46" applyNumberFormat="1" applyFont="1" applyFill="1" applyBorder="1" applyAlignment="1"/>
    <xf numFmtId="0" fontId="68" fillId="0" borderId="30" xfId="46" applyNumberFormat="1" applyFont="1" applyBorder="1"/>
    <xf numFmtId="172" fontId="68" fillId="0" borderId="31" xfId="54" applyNumberFormat="1" applyFont="1" applyFill="1" applyBorder="1" applyAlignment="1"/>
    <xf numFmtId="0" fontId="68" fillId="0" borderId="27" xfId="46" applyNumberFormat="1" applyFont="1" applyFill="1" applyBorder="1" applyAlignment="1"/>
    <xf numFmtId="172" fontId="68" fillId="0" borderId="37" xfId="54" applyNumberFormat="1" applyFont="1" applyFill="1" applyBorder="1" applyAlignment="1"/>
    <xf numFmtId="172" fontId="68" fillId="0" borderId="11" xfId="54" applyNumberFormat="1" applyFont="1" applyFill="1" applyBorder="1" applyAlignment="1"/>
    <xf numFmtId="0" fontId="68" fillId="0" borderId="31" xfId="46" applyNumberFormat="1" applyFont="1" applyBorder="1" applyAlignment="1"/>
    <xf numFmtId="9" fontId="68" fillId="0" borderId="31" xfId="46" applyNumberFormat="1" applyFont="1" applyFill="1" applyBorder="1" applyAlignment="1"/>
    <xf numFmtId="10" fontId="68" fillId="0" borderId="28" xfId="46" applyNumberFormat="1" applyFont="1" applyFill="1" applyBorder="1"/>
    <xf numFmtId="10" fontId="68" fillId="0" borderId="28" xfId="46" applyNumberFormat="1" applyFont="1" applyFill="1" applyBorder="1"/>
    <xf numFmtId="10" fontId="68" fillId="0" borderId="27" xfId="46" applyNumberFormat="1" applyFont="1" applyFill="1" applyBorder="1"/>
    <xf numFmtId="10" fontId="68" fillId="0" borderId="27" xfId="54" applyNumberFormat="1" applyFont="1" applyFill="1" applyBorder="1"/>
    <xf numFmtId="10" fontId="68" fillId="0" borderId="61" xfId="54" applyNumberFormat="1" applyFont="1" applyFill="1" applyBorder="1"/>
    <xf numFmtId="10" fontId="68" fillId="0" borderId="20" xfId="54" applyNumberFormat="1" applyFont="1" applyFill="1" applyBorder="1"/>
    <xf numFmtId="10" fontId="68" fillId="0" borderId="11" xfId="54" applyNumberFormat="1" applyFont="1" applyFill="1" applyBorder="1"/>
    <xf numFmtId="3" fontId="68" fillId="0" borderId="28" xfId="46" applyNumberFormat="1" applyFont="1" applyFill="1" applyBorder="1"/>
    <xf numFmtId="3" fontId="68" fillId="0" borderId="27" xfId="54" applyNumberFormat="1" applyFont="1" applyFill="1" applyBorder="1"/>
    <xf numFmtId="3" fontId="68" fillId="0" borderId="20" xfId="54" applyNumberFormat="1" applyFont="1" applyFill="1" applyBorder="1"/>
    <xf numFmtId="3" fontId="68" fillId="0" borderId="11" xfId="54" applyNumberFormat="1" applyFont="1" applyFill="1" applyBorder="1"/>
    <xf numFmtId="10" fontId="68" fillId="0" borderId="0" xfId="54" applyNumberFormat="1" applyFont="1" applyFill="1" applyBorder="1"/>
    <xf numFmtId="9" fontId="68" fillId="0" borderId="0" xfId="54" applyFont="1" applyAlignment="1"/>
    <xf numFmtId="0" fontId="71" fillId="0" borderId="0" xfId="46" applyNumberFormat="1" applyFont="1" applyFill="1" applyAlignment="1"/>
    <xf numFmtId="0" fontId="68" fillId="0" borderId="0" xfId="46" applyNumberFormat="1" applyFont="1" applyFill="1" applyBorder="1"/>
    <xf numFmtId="0" fontId="68" fillId="0" borderId="0" xfId="46" applyNumberFormat="1" applyFont="1" applyFill="1" applyBorder="1" applyAlignment="1"/>
    <xf numFmtId="0" fontId="71" fillId="0" borderId="0" xfId="46" applyNumberFormat="1" applyFont="1" applyFill="1" applyBorder="1" applyAlignment="1"/>
    <xf numFmtId="0" fontId="70" fillId="0" borderId="0" xfId="46" applyNumberFormat="1" applyFont="1" applyFill="1" applyBorder="1"/>
    <xf numFmtId="0" fontId="70" fillId="0" borderId="0" xfId="46" applyNumberFormat="1" applyFont="1" applyFill="1" applyBorder="1" applyAlignment="1"/>
    <xf numFmtId="10" fontId="68" fillId="0" borderId="14" xfId="54" applyNumberFormat="1" applyFont="1" applyFill="1" applyBorder="1" applyAlignment="1"/>
    <xf numFmtId="43" fontId="68" fillId="0" borderId="11" xfId="46" applyFont="1" applyFill="1" applyBorder="1" applyAlignment="1"/>
    <xf numFmtId="0" fontId="68" fillId="0" borderId="37" xfId="46" applyNumberFormat="1" applyFont="1" applyBorder="1" applyAlignment="1"/>
    <xf numFmtId="10" fontId="68" fillId="0" borderId="37" xfId="46" applyNumberFormat="1" applyFont="1" applyFill="1" applyBorder="1"/>
    <xf numFmtId="43" fontId="68" fillId="0" borderId="60" xfId="46" applyFont="1" applyBorder="1" applyAlignment="1"/>
    <xf numFmtId="0" fontId="70" fillId="44" borderId="25" xfId="46" applyNumberFormat="1" applyFont="1" applyFill="1" applyBorder="1" applyAlignment="1">
      <alignment horizontal="center" vertical="center" wrapText="1"/>
    </xf>
    <xf numFmtId="43" fontId="68" fillId="0" borderId="59" xfId="46" applyFont="1" applyFill="1" applyBorder="1"/>
    <xf numFmtId="0" fontId="1" fillId="40" borderId="11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57" xfId="0" applyFont="1" applyBorder="1" applyAlignment="1">
      <alignment vertical="top" wrapText="1"/>
    </xf>
    <xf numFmtId="0" fontId="1" fillId="0" borderId="56" xfId="0" applyFont="1" applyBorder="1" applyAlignment="1">
      <alignment vertical="center" wrapText="1"/>
    </xf>
    <xf numFmtId="0" fontId="1" fillId="0" borderId="45" xfId="0" applyFont="1" applyBorder="1" applyAlignment="1">
      <alignment vertical="top" wrapText="1"/>
    </xf>
    <xf numFmtId="0" fontId="1" fillId="0" borderId="62" xfId="0" applyFont="1" applyBorder="1" applyAlignment="1">
      <alignment vertical="center" wrapText="1"/>
    </xf>
    <xf numFmtId="0" fontId="1" fillId="0" borderId="63" xfId="0" applyFont="1" applyBorder="1" applyAlignment="1">
      <alignment vertical="top" wrapText="1"/>
    </xf>
    <xf numFmtId="0" fontId="1" fillId="0" borderId="62" xfId="0" applyFont="1" applyBorder="1" applyAlignment="1">
      <alignment vertical="top" wrapText="1"/>
    </xf>
    <xf numFmtId="0" fontId="1" fillId="0" borderId="64" xfId="0" applyFont="1" applyBorder="1" applyAlignment="1">
      <alignment vertical="top" wrapText="1"/>
    </xf>
    <xf numFmtId="0" fontId="1" fillId="0" borderId="46" xfId="0" applyFont="1" applyBorder="1" applyAlignment="1">
      <alignment vertical="top" wrapText="1"/>
    </xf>
    <xf numFmtId="0" fontId="3" fillId="0" borderId="65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1" fillId="0" borderId="66" xfId="0" applyFont="1" applyBorder="1" applyAlignment="1">
      <alignment vertical="top" wrapText="1"/>
    </xf>
    <xf numFmtId="0" fontId="1" fillId="0" borderId="67" xfId="0" applyFont="1" applyBorder="1" applyAlignment="1">
      <alignment horizontal="left" vertical="center" wrapText="1"/>
    </xf>
    <xf numFmtId="0" fontId="1" fillId="0" borderId="68" xfId="0" applyFont="1" applyBorder="1" applyAlignment="1">
      <alignment vertical="center" wrapText="1"/>
    </xf>
    <xf numFmtId="0" fontId="3" fillId="0" borderId="62" xfId="0" applyFont="1" applyBorder="1" applyAlignment="1">
      <alignment vertical="top" wrapText="1"/>
    </xf>
    <xf numFmtId="0" fontId="3" fillId="0" borderId="56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1" fillId="0" borderId="69" xfId="0" applyFont="1" applyBorder="1" applyAlignment="1">
      <alignment vertical="top" wrapText="1"/>
    </xf>
    <xf numFmtId="0" fontId="1" fillId="0" borderId="27" xfId="0" applyFont="1" applyBorder="1" applyAlignment="1">
      <alignment vertical="center" wrapText="1"/>
    </xf>
    <xf numFmtId="0" fontId="1" fillId="0" borderId="65" xfId="0" applyFont="1" applyBorder="1" applyAlignment="1">
      <alignment vertical="top" wrapText="1"/>
    </xf>
    <xf numFmtId="0" fontId="1" fillId="0" borderId="31" xfId="0" applyFont="1" applyBorder="1" applyAlignment="1">
      <alignment vertical="top" wrapText="1"/>
    </xf>
    <xf numFmtId="0" fontId="3" fillId="0" borderId="30" xfId="0" applyFont="1" applyBorder="1" applyAlignment="1">
      <alignment vertical="top" wrapText="1"/>
    </xf>
    <xf numFmtId="0" fontId="1" fillId="0" borderId="70" xfId="0" applyFont="1" applyBorder="1" applyAlignment="1">
      <alignment vertical="top" wrapText="1"/>
    </xf>
    <xf numFmtId="0" fontId="1" fillId="0" borderId="71" xfId="0" applyFont="1" applyBorder="1" applyAlignment="1">
      <alignment vertical="top" wrapText="1"/>
    </xf>
    <xf numFmtId="0" fontId="1" fillId="0" borderId="72" xfId="0" applyFont="1" applyBorder="1" applyAlignment="1">
      <alignment vertical="top" wrapText="1"/>
    </xf>
    <xf numFmtId="0" fontId="1" fillId="0" borderId="28" xfId="0" applyFont="1" applyBorder="1" applyAlignment="1">
      <alignment vertical="top" wrapText="1"/>
    </xf>
    <xf numFmtId="0" fontId="3" fillId="0" borderId="70" xfId="0" applyFont="1" applyBorder="1" applyAlignment="1">
      <alignment vertical="top" wrapText="1"/>
    </xf>
    <xf numFmtId="0" fontId="1" fillId="0" borderId="30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0" borderId="40" xfId="0" applyFont="1" applyBorder="1" applyAlignment="1">
      <alignment vertical="top" wrapText="1"/>
    </xf>
    <xf numFmtId="0" fontId="3" fillId="0" borderId="73" xfId="0" applyFont="1" applyBorder="1" applyAlignment="1">
      <alignment vertical="top" wrapText="1"/>
    </xf>
    <xf numFmtId="3" fontId="1" fillId="0" borderId="74" xfId="0" applyNumberFormat="1" applyFont="1" applyBorder="1"/>
    <xf numFmtId="3" fontId="1" fillId="0" borderId="75" xfId="0" applyNumberFormat="1" applyFont="1" applyBorder="1"/>
    <xf numFmtId="0" fontId="3" fillId="0" borderId="77" xfId="0" applyFont="1" applyBorder="1" applyAlignment="1">
      <alignment vertical="top" wrapText="1"/>
    </xf>
    <xf numFmtId="3" fontId="1" fillId="0" borderId="37" xfId="0" applyNumberFormat="1" applyFont="1" applyBorder="1"/>
    <xf numFmtId="0" fontId="3" fillId="0" borderId="19" xfId="0" applyFont="1" applyBorder="1" applyAlignment="1">
      <alignment vertical="top" wrapText="1"/>
    </xf>
    <xf numFmtId="0" fontId="3" fillId="0" borderId="27" xfId="0" applyFont="1" applyBorder="1" applyAlignment="1">
      <alignment vertical="top" wrapText="1"/>
    </xf>
    <xf numFmtId="0" fontId="3" fillId="45" borderId="17" xfId="0" applyFont="1" applyFill="1" applyBorder="1" applyAlignment="1">
      <alignment vertical="top" wrapText="1"/>
    </xf>
    <xf numFmtId="3" fontId="1" fillId="45" borderId="78" xfId="0" applyNumberFormat="1" applyFont="1" applyFill="1" applyBorder="1"/>
    <xf numFmtId="3" fontId="1" fillId="45" borderId="79" xfId="0" applyNumberFormat="1" applyFont="1" applyFill="1" applyBorder="1"/>
    <xf numFmtId="0" fontId="3" fillId="45" borderId="16" xfId="0" applyFont="1" applyFill="1" applyBorder="1" applyAlignment="1">
      <alignment vertical="top" wrapText="1"/>
    </xf>
    <xf numFmtId="3" fontId="1" fillId="45" borderId="18" xfId="0" applyNumberFormat="1" applyFont="1" applyFill="1" applyBorder="1"/>
    <xf numFmtId="0" fontId="3" fillId="45" borderId="80" xfId="0" applyFont="1" applyFill="1" applyBorder="1" applyAlignment="1">
      <alignment vertical="top" wrapText="1"/>
    </xf>
    <xf numFmtId="3" fontId="1" fillId="45" borderId="17" xfId="0" applyNumberFormat="1" applyFont="1" applyFill="1" applyBorder="1"/>
    <xf numFmtId="0" fontId="1" fillId="45" borderId="11" xfId="0" applyFont="1" applyFill="1" applyBorder="1"/>
    <xf numFmtId="0" fontId="1" fillId="45" borderId="17" xfId="0" applyFont="1" applyFill="1" applyBorder="1" applyAlignment="1">
      <alignment vertical="top" wrapText="1"/>
    </xf>
    <xf numFmtId="0" fontId="1" fillId="45" borderId="16" xfId="0" applyFont="1" applyFill="1" applyBorder="1" applyAlignment="1">
      <alignment vertical="top" wrapText="1"/>
    </xf>
    <xf numFmtId="0" fontId="1" fillId="45" borderId="80" xfId="0" applyFont="1" applyFill="1" applyBorder="1" applyAlignment="1">
      <alignment vertical="top" wrapText="1"/>
    </xf>
    <xf numFmtId="3" fontId="1" fillId="45" borderId="78" xfId="0" applyNumberFormat="1" applyFont="1" applyFill="1" applyBorder="1" applyAlignment="1"/>
    <xf numFmtId="3" fontId="1" fillId="45" borderId="79" xfId="0" applyNumberFormat="1" applyFont="1" applyFill="1" applyBorder="1" applyAlignment="1"/>
    <xf numFmtId="3" fontId="1" fillId="45" borderId="18" xfId="0" applyNumberFormat="1" applyFont="1" applyFill="1" applyBorder="1" applyAlignment="1"/>
    <xf numFmtId="3" fontId="1" fillId="45" borderId="17" xfId="0" applyNumberFormat="1" applyFont="1" applyFill="1" applyBorder="1" applyAlignment="1"/>
    <xf numFmtId="165" fontId="65" fillId="42" borderId="129" xfId="46" applyNumberFormat="1" applyFont="1" applyFill="1" applyBorder="1" applyAlignment="1">
      <alignment horizontal="center" vertical="center" wrapText="1"/>
    </xf>
    <xf numFmtId="0" fontId="73" fillId="0" borderId="0" xfId="46" applyNumberFormat="1" applyFont="1" applyFill="1"/>
    <xf numFmtId="3" fontId="3" fillId="0" borderId="18" xfId="46" applyNumberFormat="1" applyFont="1" applyFill="1" applyBorder="1"/>
    <xf numFmtId="0" fontId="1" fillId="0" borderId="22" xfId="46" quotePrefix="1" applyNumberFormat="1" applyFont="1" applyFill="1" applyBorder="1" applyAlignment="1">
      <alignment vertical="top"/>
    </xf>
    <xf numFmtId="0" fontId="1" fillId="40" borderId="22" xfId="46" quotePrefix="1" applyNumberFormat="1" applyFont="1" applyFill="1" applyBorder="1" applyAlignment="1">
      <alignment vertical="top"/>
    </xf>
    <xf numFmtId="0" fontId="1" fillId="0" borderId="22" xfId="46" applyNumberFormat="1" applyFont="1" applyFill="1" applyBorder="1" applyAlignment="1">
      <alignment vertical="top"/>
    </xf>
    <xf numFmtId="166" fontId="3" fillId="0" borderId="50" xfId="54" applyNumberFormat="1" applyFont="1" applyFill="1" applyBorder="1" applyAlignment="1">
      <alignment vertical="top" wrapText="1"/>
    </xf>
    <xf numFmtId="166" fontId="1" fillId="0" borderId="50" xfId="54" applyNumberFormat="1" applyFont="1" applyFill="1" applyBorder="1" applyAlignment="1">
      <alignment vertical="top" wrapText="1"/>
    </xf>
    <xf numFmtId="165" fontId="3" fillId="45" borderId="15" xfId="0" applyNumberFormat="1" applyFont="1" applyFill="1" applyBorder="1" applyAlignment="1">
      <alignment vertical="center"/>
    </xf>
    <xf numFmtId="165" fontId="3" fillId="45" borderId="18" xfId="0" applyNumberFormat="1" applyFont="1" applyFill="1" applyBorder="1" applyAlignment="1">
      <alignment vertical="center"/>
    </xf>
    <xf numFmtId="0" fontId="3" fillId="0" borderId="0" xfId="0" applyFont="1"/>
    <xf numFmtId="165" fontId="3" fillId="45" borderId="50" xfId="0" applyNumberFormat="1" applyFont="1" applyFill="1" applyBorder="1" applyAlignment="1">
      <alignment vertical="top"/>
    </xf>
    <xf numFmtId="165" fontId="3" fillId="45" borderId="78" xfId="0" applyNumberFormat="1" applyFont="1" applyFill="1" applyBorder="1" applyAlignment="1">
      <alignment vertical="top"/>
    </xf>
    <xf numFmtId="165" fontId="8" fillId="0" borderId="0" xfId="46" applyNumberFormat="1" applyFont="1"/>
    <xf numFmtId="165" fontId="1" fillId="25" borderId="11" xfId="46" applyNumberFormat="1" applyFont="1" applyFill="1" applyBorder="1" applyAlignment="1"/>
    <xf numFmtId="165" fontId="1" fillId="26" borderId="11" xfId="46" applyNumberFormat="1" applyFont="1" applyFill="1" applyBorder="1" applyAlignment="1"/>
    <xf numFmtId="165" fontId="1" fillId="27" borderId="11" xfId="46" applyNumberFormat="1" applyFont="1" applyFill="1" applyBorder="1" applyAlignment="1"/>
    <xf numFmtId="165" fontId="1" fillId="28" borderId="11" xfId="46" applyNumberFormat="1" applyFont="1" applyFill="1" applyBorder="1" applyAlignment="1"/>
    <xf numFmtId="0" fontId="1" fillId="0" borderId="0" xfId="46" applyNumberFormat="1" applyAlignment="1">
      <alignment horizontal="left"/>
    </xf>
    <xf numFmtId="0" fontId="1" fillId="40" borderId="0" xfId="46" applyNumberFormat="1" applyFill="1" applyAlignment="1">
      <alignment horizontal="left"/>
    </xf>
    <xf numFmtId="3" fontId="1" fillId="0" borderId="0" xfId="46" applyNumberFormat="1" applyFont="1" applyAlignment="1">
      <alignment horizontal="left"/>
    </xf>
    <xf numFmtId="0" fontId="67" fillId="0" borderId="0" xfId="46" applyNumberFormat="1" applyFont="1" applyAlignment="1">
      <alignment horizontal="left"/>
    </xf>
    <xf numFmtId="0" fontId="3" fillId="0" borderId="0" xfId="46" applyNumberFormat="1" applyFont="1" applyAlignment="1">
      <alignment horizontal="left" vertical="top"/>
    </xf>
    <xf numFmtId="0" fontId="1" fillId="40" borderId="16" xfId="46" applyNumberFormat="1" applyFont="1" applyFill="1" applyBorder="1"/>
    <xf numFmtId="0" fontId="1" fillId="0" borderId="82" xfId="46" applyNumberFormat="1" applyBorder="1"/>
    <xf numFmtId="0" fontId="1" fillId="0" borderId="83" xfId="46" applyNumberFormat="1" applyBorder="1" applyAlignment="1"/>
    <xf numFmtId="0" fontId="1" fillId="0" borderId="84" xfId="46" applyNumberFormat="1" applyBorder="1" applyAlignment="1"/>
    <xf numFmtId="0" fontId="1" fillId="0" borderId="85" xfId="46" applyNumberFormat="1" applyBorder="1" applyAlignment="1"/>
    <xf numFmtId="0" fontId="1" fillId="0" borderId="0" xfId="0" applyFont="1" applyAlignment="1"/>
    <xf numFmtId="0" fontId="1" fillId="0" borderId="51" xfId="0" applyFont="1" applyFill="1" applyBorder="1" applyAlignment="1">
      <alignment horizontal="left" vertical="top" indent="3"/>
    </xf>
    <xf numFmtId="0" fontId="3" fillId="0" borderId="48" xfId="46" applyNumberFormat="1" applyFont="1" applyBorder="1" applyAlignment="1">
      <alignment horizontal="center" vertical="center"/>
    </xf>
    <xf numFmtId="0" fontId="70" fillId="0" borderId="48" xfId="46" applyNumberFormat="1" applyFont="1" applyBorder="1" applyAlignment="1">
      <alignment horizontal="center" vertical="center" wrapText="1"/>
    </xf>
    <xf numFmtId="0" fontId="1" fillId="0" borderId="42" xfId="46" applyNumberFormat="1" applyBorder="1" applyAlignment="1">
      <alignment vertical="center"/>
    </xf>
    <xf numFmtId="0" fontId="1" fillId="0" borderId="43" xfId="46" applyNumberFormat="1" applyBorder="1" applyAlignment="1">
      <alignment vertical="center"/>
    </xf>
    <xf numFmtId="0" fontId="1" fillId="0" borderId="88" xfId="46" applyNumberFormat="1" applyBorder="1" applyAlignment="1">
      <alignment vertical="center"/>
    </xf>
    <xf numFmtId="0" fontId="1" fillId="0" borderId="45" xfId="46" applyNumberFormat="1" applyBorder="1" applyAlignment="1">
      <alignment vertical="center"/>
    </xf>
    <xf numFmtId="0" fontId="69" fillId="0" borderId="25" xfId="46" applyNumberFormat="1" applyFont="1" applyBorder="1" applyAlignment="1">
      <alignment horizontal="center" vertical="center" wrapText="1"/>
    </xf>
    <xf numFmtId="0" fontId="69" fillId="0" borderId="89" xfId="46" applyNumberFormat="1" applyFont="1" applyBorder="1" applyAlignment="1">
      <alignment horizontal="center" vertical="center" wrapText="1"/>
    </xf>
    <xf numFmtId="3" fontId="68" fillId="0" borderId="11" xfId="46" applyNumberFormat="1" applyFont="1" applyFill="1" applyBorder="1" applyAlignment="1">
      <alignment wrapText="1"/>
    </xf>
    <xf numFmtId="3" fontId="68" fillId="24" borderId="22" xfId="46" applyNumberFormat="1" applyFont="1" applyFill="1" applyBorder="1" applyAlignment="1"/>
    <xf numFmtId="3" fontId="68" fillId="24" borderId="24" xfId="46" applyNumberFormat="1" applyFont="1" applyFill="1" applyBorder="1" applyAlignment="1">
      <alignment wrapText="1"/>
    </xf>
    <xf numFmtId="3" fontId="68" fillId="0" borderId="11" xfId="46" applyNumberFormat="1" applyFont="1" applyBorder="1" applyAlignment="1"/>
    <xf numFmtId="3" fontId="68" fillId="0" borderId="22" xfId="46" applyNumberFormat="1" applyFont="1" applyBorder="1" applyAlignment="1"/>
    <xf numFmtId="3" fontId="70" fillId="24" borderId="22" xfId="46" applyNumberFormat="1" applyFont="1" applyFill="1" applyBorder="1" applyAlignment="1"/>
    <xf numFmtId="3" fontId="70" fillId="0" borderId="11" xfId="46" applyNumberFormat="1" applyFont="1" applyFill="1" applyBorder="1"/>
    <xf numFmtId="0" fontId="68" fillId="0" borderId="11" xfId="46" applyNumberFormat="1" applyFont="1" applyFill="1" applyBorder="1"/>
    <xf numFmtId="0" fontId="70" fillId="40" borderId="25" xfId="46" applyNumberFormat="1" applyFont="1" applyFill="1" applyBorder="1" applyAlignment="1">
      <alignment horizontal="center" vertical="center" wrapText="1"/>
    </xf>
    <xf numFmtId="165" fontId="71" fillId="0" borderId="11" xfId="46" applyNumberFormat="1" applyFont="1" applyBorder="1" applyAlignment="1"/>
    <xf numFmtId="0" fontId="68" fillId="0" borderId="0" xfId="46" applyNumberFormat="1" applyFont="1" applyFill="1"/>
    <xf numFmtId="0" fontId="68" fillId="0" borderId="0" xfId="46" applyNumberFormat="1" applyFont="1" applyFill="1" applyAlignment="1"/>
    <xf numFmtId="3" fontId="68" fillId="0" borderId="0" xfId="46" applyNumberFormat="1" applyFont="1" applyFill="1" applyBorder="1" applyAlignment="1"/>
    <xf numFmtId="165" fontId="68" fillId="0" borderId="0" xfId="46" applyNumberFormat="1" applyFont="1" applyFill="1" applyAlignment="1"/>
    <xf numFmtId="43" fontId="68" fillId="0" borderId="69" xfId="46" applyFont="1" applyFill="1" applyBorder="1" applyAlignment="1"/>
    <xf numFmtId="10" fontId="71" fillId="0" borderId="15" xfId="54" applyNumberFormat="1" applyFont="1" applyFill="1" applyBorder="1" applyAlignment="1"/>
    <xf numFmtId="10" fontId="68" fillId="0" borderId="69" xfId="46" applyNumberFormat="1" applyFont="1" applyFill="1" applyBorder="1"/>
    <xf numFmtId="0" fontId="68" fillId="0" borderId="0" xfId="46" applyNumberFormat="1" applyFont="1" applyAlignment="1">
      <alignment wrapText="1"/>
    </xf>
    <xf numFmtId="3" fontId="68" fillId="0" borderId="0" xfId="46" applyNumberFormat="1" applyFont="1" applyBorder="1" applyAlignment="1"/>
    <xf numFmtId="3" fontId="68" fillId="0" borderId="0" xfId="54" applyNumberFormat="1" applyFont="1" applyBorder="1" applyAlignment="1"/>
    <xf numFmtId="3" fontId="68" fillId="0" borderId="0" xfId="46" applyNumberFormat="1" applyFont="1" applyBorder="1" applyAlignment="1">
      <alignment wrapText="1"/>
    </xf>
    <xf numFmtId="3" fontId="68" fillId="0" borderId="21" xfId="46" applyNumberFormat="1" applyFont="1" applyBorder="1" applyAlignment="1">
      <alignment wrapText="1"/>
    </xf>
    <xf numFmtId="3" fontId="68" fillId="0" borderId="90" xfId="46" applyNumberFormat="1" applyFont="1" applyBorder="1" applyAlignment="1">
      <alignment wrapText="1"/>
    </xf>
    <xf numFmtId="3" fontId="68" fillId="0" borderId="14" xfId="46" applyNumberFormat="1" applyFont="1" applyBorder="1" applyAlignment="1">
      <alignment wrapText="1"/>
    </xf>
    <xf numFmtId="3" fontId="68" fillId="0" borderId="91" xfId="46" applyNumberFormat="1" applyFont="1" applyBorder="1" applyAlignment="1">
      <alignment wrapText="1"/>
    </xf>
    <xf numFmtId="3" fontId="68" fillId="0" borderId="10" xfId="46" applyNumberFormat="1" applyFont="1" applyFill="1" applyBorder="1"/>
    <xf numFmtId="3" fontId="68" fillId="0" borderId="11" xfId="46" applyNumberFormat="1" applyFont="1" applyBorder="1" applyAlignment="1">
      <alignment wrapText="1"/>
    </xf>
    <xf numFmtId="3" fontId="68" fillId="0" borderId="22" xfId="46" applyNumberFormat="1" applyFont="1" applyBorder="1" applyAlignment="1">
      <alignment wrapText="1"/>
    </xf>
    <xf numFmtId="3" fontId="68" fillId="0" borderId="15" xfId="46" applyNumberFormat="1" applyFont="1" applyBorder="1" applyAlignment="1">
      <alignment wrapText="1"/>
    </xf>
    <xf numFmtId="3" fontId="70" fillId="0" borderId="10" xfId="46" applyNumberFormat="1" applyFont="1" applyFill="1" applyBorder="1"/>
    <xf numFmtId="0" fontId="70" fillId="0" borderId="0" xfId="46" applyNumberFormat="1" applyFont="1"/>
    <xf numFmtId="0" fontId="68" fillId="29" borderId="0" xfId="46" applyNumberFormat="1" applyFont="1" applyFill="1"/>
    <xf numFmtId="0" fontId="70" fillId="0" borderId="0" xfId="46" applyNumberFormat="1" applyFont="1" applyFill="1"/>
    <xf numFmtId="3" fontId="68" fillId="24" borderId="11" xfId="46" applyNumberFormat="1" applyFont="1" applyFill="1" applyBorder="1" applyAlignment="1"/>
    <xf numFmtId="3" fontId="68" fillId="0" borderId="33" xfId="46" applyNumberFormat="1" applyFont="1" applyFill="1" applyBorder="1" applyAlignment="1"/>
    <xf numFmtId="165" fontId="68" fillId="0" borderId="10" xfId="46" applyNumberFormat="1" applyFont="1" applyFill="1" applyBorder="1"/>
    <xf numFmtId="0" fontId="70" fillId="0" borderId="18" xfId="46" applyNumberFormat="1" applyFont="1" applyFill="1" applyBorder="1"/>
    <xf numFmtId="4" fontId="70" fillId="0" borderId="11" xfId="46" applyNumberFormat="1" applyFont="1" applyFill="1" applyBorder="1" applyAlignment="1"/>
    <xf numFmtId="4" fontId="70" fillId="24" borderId="11" xfId="46" applyNumberFormat="1" applyFont="1" applyFill="1" applyBorder="1" applyAlignment="1"/>
    <xf numFmtId="4" fontId="70" fillId="24" borderId="22" xfId="46" applyNumberFormat="1" applyFont="1" applyFill="1" applyBorder="1" applyAlignment="1"/>
    <xf numFmtId="168" fontId="68" fillId="0" borderId="11" xfId="46" applyNumberFormat="1" applyFont="1" applyBorder="1" applyAlignment="1"/>
    <xf numFmtId="3" fontId="68" fillId="0" borderId="19" xfId="46" applyNumberFormat="1" applyFont="1" applyBorder="1" applyAlignment="1"/>
    <xf numFmtId="3" fontId="70" fillId="24" borderId="19" xfId="46" applyNumberFormat="1" applyFont="1" applyFill="1" applyBorder="1" applyAlignment="1"/>
    <xf numFmtId="0" fontId="68" fillId="0" borderId="14" xfId="46" applyNumberFormat="1" applyFont="1" applyBorder="1" applyAlignment="1"/>
    <xf numFmtId="10" fontId="68" fillId="0" borderId="69" xfId="54" applyNumberFormat="1" applyFont="1" applyFill="1" applyBorder="1"/>
    <xf numFmtId="10" fontId="68" fillId="0" borderId="37" xfId="54" applyNumberFormat="1" applyFont="1" applyFill="1" applyBorder="1"/>
    <xf numFmtId="165" fontId="73" fillId="32" borderId="11" xfId="46" applyNumberFormat="1" applyFont="1" applyFill="1" applyBorder="1" applyAlignment="1"/>
    <xf numFmtId="165" fontId="73" fillId="33" borderId="22" xfId="46" applyNumberFormat="1" applyFont="1" applyFill="1" applyBorder="1" applyAlignment="1"/>
    <xf numFmtId="165" fontId="73" fillId="34" borderId="11" xfId="46" applyNumberFormat="1" applyFont="1" applyFill="1" applyBorder="1" applyAlignment="1"/>
    <xf numFmtId="165" fontId="73" fillId="37" borderId="11" xfId="46" applyNumberFormat="1" applyFont="1" applyFill="1" applyBorder="1" applyAlignment="1"/>
    <xf numFmtId="0" fontId="9" fillId="0" borderId="0" xfId="46" applyNumberFormat="1" applyFont="1" applyFill="1" applyBorder="1" applyAlignment="1">
      <alignment horizontal="left"/>
    </xf>
    <xf numFmtId="0" fontId="1" fillId="0" borderId="0" xfId="46" applyNumberFormat="1" applyFont="1" applyAlignment="1">
      <alignment horizontal="left"/>
    </xf>
    <xf numFmtId="0" fontId="1" fillId="0" borderId="11" xfId="46" applyNumberFormat="1" applyFont="1" applyBorder="1" applyAlignment="1">
      <alignment horizontal="center"/>
    </xf>
    <xf numFmtId="0" fontId="1" fillId="24" borderId="15" xfId="46" applyNumberFormat="1" applyFont="1" applyFill="1" applyBorder="1"/>
    <xf numFmtId="3" fontId="1" fillId="0" borderId="15" xfId="46" applyNumberFormat="1" applyFont="1" applyFill="1" applyBorder="1"/>
    <xf numFmtId="3" fontId="1" fillId="0" borderId="18" xfId="46" applyNumberFormat="1" applyFont="1" applyFill="1" applyBorder="1"/>
    <xf numFmtId="0" fontId="1" fillId="0" borderId="18" xfId="46" applyNumberFormat="1" applyFont="1" applyBorder="1"/>
    <xf numFmtId="0" fontId="1" fillId="0" borderId="69" xfId="46" applyNumberFormat="1" applyFont="1" applyBorder="1"/>
    <xf numFmtId="3" fontId="1" fillId="0" borderId="11" xfId="46" applyNumberFormat="1" applyFont="1" applyFill="1" applyBorder="1" applyAlignment="1">
      <alignment horizontal="center"/>
    </xf>
    <xf numFmtId="3" fontId="1" fillId="40" borderId="15" xfId="46" applyNumberFormat="1" applyFont="1" applyFill="1" applyBorder="1"/>
    <xf numFmtId="166" fontId="44" fillId="40" borderId="27" xfId="54" applyNumberFormat="1" applyFont="1" applyFill="1" applyBorder="1" applyAlignment="1">
      <alignment horizontal="right"/>
    </xf>
    <xf numFmtId="10" fontId="44" fillId="0" borderId="61" xfId="46" applyNumberFormat="1" applyFont="1" applyFill="1" applyBorder="1" applyAlignment="1">
      <alignment horizontal="right"/>
    </xf>
    <xf numFmtId="0" fontId="1" fillId="0" borderId="93" xfId="46" applyNumberFormat="1" applyFont="1" applyBorder="1" applyAlignment="1">
      <alignment horizontal="center" wrapText="1"/>
    </xf>
    <xf numFmtId="3" fontId="1" fillId="0" borderId="14" xfId="46" applyNumberFormat="1" applyFont="1" applyBorder="1"/>
    <xf numFmtId="10" fontId="3" fillId="0" borderId="27" xfId="54" applyNumberFormat="1" applyFont="1" applyFill="1" applyBorder="1" applyAlignment="1">
      <alignment horizontal="center"/>
    </xf>
    <xf numFmtId="10" fontId="1" fillId="0" borderId="28" xfId="54" applyNumberFormat="1" applyFont="1" applyFill="1" applyBorder="1"/>
    <xf numFmtId="0" fontId="3" fillId="40" borderId="0" xfId="46" applyNumberFormat="1" applyFont="1" applyFill="1"/>
    <xf numFmtId="0" fontId="1" fillId="0" borderId="0" xfId="46" applyNumberFormat="1" applyFont="1" applyAlignment="1">
      <alignment wrapText="1"/>
    </xf>
    <xf numFmtId="0" fontId="1" fillId="0" borderId="11" xfId="46" applyNumberFormat="1" applyFont="1" applyBorder="1" applyAlignment="1">
      <alignment wrapText="1"/>
    </xf>
    <xf numFmtId="0" fontId="1" fillId="0" borderId="11" xfId="46" applyNumberFormat="1" applyFont="1" applyFill="1" applyBorder="1" applyAlignment="1">
      <alignment horizontal="center" vertical="center" wrapText="1"/>
    </xf>
    <xf numFmtId="165" fontId="1" fillId="0" borderId="13" xfId="46" applyNumberFormat="1" applyFont="1" applyBorder="1"/>
    <xf numFmtId="165" fontId="1" fillId="0" borderId="0" xfId="46" applyNumberFormat="1" applyFont="1" applyFill="1" applyBorder="1"/>
    <xf numFmtId="166" fontId="15" fillId="40" borderId="0" xfId="54" applyNumberFormat="1" applyFont="1" applyFill="1" applyBorder="1" applyAlignment="1">
      <alignment wrapText="1"/>
    </xf>
    <xf numFmtId="165" fontId="1" fillId="45" borderId="23" xfId="0" applyNumberFormat="1" applyFont="1" applyFill="1" applyBorder="1" applyAlignment="1">
      <alignment vertical="center" wrapText="1"/>
    </xf>
    <xf numFmtId="165" fontId="1" fillId="0" borderId="0" xfId="46" applyNumberFormat="1" applyFont="1" applyFill="1" applyBorder="1" applyAlignment="1">
      <alignment vertical="top"/>
    </xf>
    <xf numFmtId="165" fontId="1" fillId="0" borderId="58" xfId="46" applyNumberFormat="1" applyFont="1" applyFill="1" applyBorder="1" applyAlignment="1">
      <alignment vertical="top"/>
    </xf>
    <xf numFmtId="165" fontId="1" fillId="0" borderId="50" xfId="46" applyNumberFormat="1" applyFont="1" applyFill="1" applyBorder="1" applyAlignment="1">
      <alignment vertical="top" wrapText="1"/>
    </xf>
    <xf numFmtId="165" fontId="1" fillId="0" borderId="52" xfId="46" applyNumberFormat="1" applyFont="1" applyFill="1" applyBorder="1" applyAlignment="1">
      <alignment vertical="top" wrapText="1"/>
    </xf>
    <xf numFmtId="165" fontId="1" fillId="0" borderId="14" xfId="46" applyNumberFormat="1" applyFont="1" applyFill="1" applyBorder="1" applyAlignment="1">
      <alignment vertical="top"/>
    </xf>
    <xf numFmtId="165" fontId="1" fillId="0" borderId="17" xfId="46" applyNumberFormat="1" applyFont="1" applyFill="1" applyBorder="1" applyAlignment="1">
      <alignment vertical="top"/>
    </xf>
    <xf numFmtId="3" fontId="1" fillId="45" borderId="15" xfId="0" applyNumberFormat="1" applyFont="1" applyFill="1" applyBorder="1" applyAlignment="1">
      <alignment vertical="center" wrapText="1"/>
    </xf>
    <xf numFmtId="165" fontId="1" fillId="45" borderId="15" xfId="46" applyNumberFormat="1" applyFont="1" applyFill="1" applyBorder="1" applyAlignment="1">
      <alignment vertical="center" wrapText="1"/>
    </xf>
    <xf numFmtId="166" fontId="1" fillId="0" borderId="54" xfId="54" applyNumberFormat="1" applyFont="1" applyFill="1" applyBorder="1" applyAlignment="1">
      <alignment vertical="top" wrapText="1"/>
    </xf>
    <xf numFmtId="165" fontId="1" fillId="45" borderId="54" xfId="0" applyNumberFormat="1" applyFont="1" applyFill="1" applyBorder="1" applyAlignment="1">
      <alignment vertical="top"/>
    </xf>
    <xf numFmtId="165" fontId="1" fillId="45" borderId="95" xfId="0" applyNumberFormat="1" applyFont="1" applyFill="1" applyBorder="1" applyAlignment="1">
      <alignment vertical="top"/>
    </xf>
    <xf numFmtId="165" fontId="1" fillId="45" borderId="50" xfId="0" applyNumberFormat="1" applyFont="1" applyFill="1" applyBorder="1" applyAlignment="1">
      <alignment vertical="top"/>
    </xf>
    <xf numFmtId="165" fontId="1" fillId="45" borderId="78" xfId="0" applyNumberFormat="1" applyFont="1" applyFill="1" applyBorder="1" applyAlignment="1">
      <alignment vertical="top"/>
    </xf>
    <xf numFmtId="165" fontId="1" fillId="45" borderId="79" xfId="0" applyNumberFormat="1" applyFont="1" applyFill="1" applyBorder="1" applyAlignment="1">
      <alignment vertical="top"/>
    </xf>
    <xf numFmtId="43" fontId="1" fillId="45" borderId="96" xfId="46" applyFont="1" applyFill="1" applyBorder="1" applyAlignment="1">
      <alignment vertical="top" wrapText="1"/>
    </xf>
    <xf numFmtId="165" fontId="1" fillId="45" borderId="44" xfId="0" applyNumberFormat="1" applyFont="1" applyFill="1" applyBorder="1" applyAlignment="1">
      <alignment vertical="top"/>
    </xf>
    <xf numFmtId="43" fontId="1" fillId="45" borderId="71" xfId="46" applyFont="1" applyFill="1" applyBorder="1" applyAlignment="1">
      <alignment vertical="top" wrapText="1"/>
    </xf>
    <xf numFmtId="165" fontId="1" fillId="45" borderId="97" xfId="0" applyNumberFormat="1" applyFont="1" applyFill="1" applyBorder="1" applyAlignment="1">
      <alignment vertical="top"/>
    </xf>
    <xf numFmtId="165" fontId="1" fillId="45" borderId="47" xfId="0" applyNumberFormat="1" applyFont="1" applyFill="1" applyBorder="1" applyAlignment="1">
      <alignment vertical="top"/>
    </xf>
    <xf numFmtId="9" fontId="1" fillId="45" borderId="96" xfId="54" applyFont="1" applyFill="1" applyBorder="1" applyAlignment="1">
      <alignment vertical="top" wrapText="1"/>
    </xf>
    <xf numFmtId="9" fontId="1" fillId="45" borderId="71" xfId="54" applyFont="1" applyFill="1" applyBorder="1" applyAlignment="1">
      <alignment vertical="top" wrapText="1"/>
    </xf>
    <xf numFmtId="9" fontId="1" fillId="45" borderId="72" xfId="54" applyFont="1" applyFill="1" applyBorder="1" applyAlignment="1">
      <alignment vertical="top" wrapText="1"/>
    </xf>
    <xf numFmtId="165" fontId="1" fillId="45" borderId="57" xfId="0" applyNumberFormat="1" applyFont="1" applyFill="1" applyBorder="1" applyAlignment="1">
      <alignment vertical="top"/>
    </xf>
    <xf numFmtId="165" fontId="1" fillId="45" borderId="74" xfId="0" applyNumberFormat="1" applyFont="1" applyFill="1" applyBorder="1" applyAlignment="1">
      <alignment vertical="top"/>
    </xf>
    <xf numFmtId="165" fontId="1" fillId="45" borderId="75" xfId="0" applyNumberFormat="1" applyFont="1" applyFill="1" applyBorder="1" applyAlignment="1">
      <alignment vertical="top"/>
    </xf>
    <xf numFmtId="0" fontId="73" fillId="0" borderId="0" xfId="57" applyFont="1" applyProtection="1"/>
    <xf numFmtId="0" fontId="3" fillId="0" borderId="0" xfId="46" applyNumberFormat="1" applyFont="1" applyBorder="1" applyAlignment="1">
      <alignment horizontal="center" vertical="center" wrapText="1"/>
    </xf>
    <xf numFmtId="170" fontId="1" fillId="0" borderId="11" xfId="0" applyNumberFormat="1" applyFont="1" applyBorder="1"/>
    <xf numFmtId="43" fontId="1" fillId="0" borderId="11" xfId="0" applyNumberFormat="1" applyFont="1" applyBorder="1"/>
    <xf numFmtId="43" fontId="1" fillId="0" borderId="11" xfId="0" applyNumberFormat="1" applyFont="1" applyFill="1" applyBorder="1"/>
    <xf numFmtId="165" fontId="45" fillId="39" borderId="0" xfId="46" applyNumberFormat="1" applyFont="1" applyFill="1" applyBorder="1"/>
    <xf numFmtId="0" fontId="1" fillId="0" borderId="0" xfId="46" applyNumberFormat="1" applyFont="1" applyBorder="1"/>
    <xf numFmtId="0" fontId="17" fillId="0" borderId="0" xfId="46" applyNumberFormat="1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center" wrapText="1"/>
    </xf>
    <xf numFmtId="0" fontId="1" fillId="0" borderId="0" xfId="0" applyFont="1" applyFill="1" applyBorder="1"/>
    <xf numFmtId="0" fontId="1" fillId="0" borderId="0" xfId="0" applyFont="1" applyFill="1"/>
    <xf numFmtId="3" fontId="15" fillId="0" borderId="0" xfId="46" applyNumberFormat="1" applyFont="1" applyFill="1" applyBorder="1"/>
    <xf numFmtId="3" fontId="17" fillId="0" borderId="11" xfId="46" applyNumberFormat="1" applyFont="1" applyFill="1" applyBorder="1" applyAlignment="1">
      <alignment wrapText="1"/>
    </xf>
    <xf numFmtId="0" fontId="3" fillId="0" borderId="22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8" xfId="0" applyFont="1" applyFill="1" applyBorder="1" applyAlignment="1">
      <alignment horizontal="center" vertical="center" wrapText="1"/>
    </xf>
    <xf numFmtId="166" fontId="1" fillId="0" borderId="11" xfId="54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54" xfId="0" applyFont="1" applyFill="1" applyBorder="1" applyAlignment="1">
      <alignment vertical="center"/>
    </xf>
    <xf numFmtId="0" fontId="1" fillId="0" borderId="95" xfId="0" applyFont="1" applyFill="1" applyBorder="1" applyAlignment="1">
      <alignment horizontal="center" vertical="center" wrapText="1"/>
    </xf>
    <xf numFmtId="165" fontId="1" fillId="0" borderId="101" xfId="46" applyNumberFormat="1" applyFont="1" applyFill="1" applyBorder="1" applyAlignment="1">
      <alignment vertical="center"/>
    </xf>
    <xf numFmtId="0" fontId="1" fillId="0" borderId="52" xfId="0" applyFont="1" applyFill="1" applyBorder="1" applyAlignment="1">
      <alignment vertical="center"/>
    </xf>
    <xf numFmtId="0" fontId="1" fillId="0" borderId="79" xfId="0" applyFont="1" applyFill="1" applyBorder="1" applyAlignment="1">
      <alignment horizontal="center" vertical="center" wrapText="1"/>
    </xf>
    <xf numFmtId="0" fontId="1" fillId="0" borderId="0" xfId="46" applyNumberFormat="1" applyFont="1" applyBorder="1" applyAlignment="1">
      <alignment horizontal="center" vertical="center" textRotation="90" wrapText="1"/>
    </xf>
    <xf numFmtId="165" fontId="68" fillId="0" borderId="11" xfId="46" applyNumberFormat="1" applyFont="1" applyFill="1" applyBorder="1" applyAlignment="1"/>
    <xf numFmtId="3" fontId="68" fillId="0" borderId="18" xfId="46" applyNumberFormat="1" applyFont="1" applyFill="1" applyBorder="1"/>
    <xf numFmtId="166" fontId="1" fillId="0" borderId="11" xfId="54" applyNumberFormat="1" applyFont="1" applyFill="1" applyBorder="1"/>
    <xf numFmtId="10" fontId="3" fillId="0" borderId="11" xfId="54" applyNumberFormat="1" applyFont="1" applyFill="1" applyBorder="1"/>
    <xf numFmtId="0" fontId="64" fillId="42" borderId="11" xfId="0" applyFont="1" applyFill="1" applyBorder="1" applyAlignment="1">
      <alignment vertical="center"/>
    </xf>
    <xf numFmtId="0" fontId="64" fillId="42" borderId="11" xfId="46" applyNumberFormat="1" applyFont="1" applyFill="1" applyBorder="1" applyAlignment="1">
      <alignment horizontal="center" vertical="center" wrapText="1"/>
    </xf>
    <xf numFmtId="0" fontId="65" fillId="42" borderId="11" xfId="46" applyNumberFormat="1" applyFont="1" applyFill="1" applyBorder="1" applyAlignment="1">
      <alignment horizontal="center" vertical="center" wrapText="1"/>
    </xf>
    <xf numFmtId="0" fontId="64" fillId="42" borderId="132" xfId="0" applyFont="1" applyFill="1" applyBorder="1" applyAlignment="1">
      <alignment vertical="center"/>
    </xf>
    <xf numFmtId="0" fontId="64" fillId="42" borderId="19" xfId="0" applyFont="1" applyFill="1" applyBorder="1" applyAlignment="1">
      <alignment vertical="center"/>
    </xf>
    <xf numFmtId="0" fontId="1" fillId="0" borderId="18" xfId="46" applyNumberFormat="1" applyFont="1" applyFill="1" applyBorder="1"/>
    <xf numFmtId="166" fontId="68" fillId="0" borderId="11" xfId="54" applyNumberFormat="1" applyFont="1" applyFill="1" applyBorder="1" applyAlignment="1"/>
    <xf numFmtId="166" fontId="68" fillId="0" borderId="0" xfId="46" applyNumberFormat="1" applyFont="1" applyFill="1" applyAlignment="1"/>
    <xf numFmtId="166" fontId="68" fillId="0" borderId="58" xfId="46" applyNumberFormat="1" applyFont="1" applyFill="1" applyBorder="1" applyAlignment="1"/>
    <xf numFmtId="166" fontId="68" fillId="0" borderId="0" xfId="46" applyNumberFormat="1" applyFont="1" applyFill="1" applyBorder="1" applyAlignment="1"/>
    <xf numFmtId="166" fontId="68" fillId="0" borderId="18" xfId="46" applyNumberFormat="1" applyFont="1" applyFill="1" applyBorder="1"/>
    <xf numFmtId="10" fontId="1" fillId="0" borderId="27" xfId="54" applyNumberFormat="1" applyFont="1" applyFill="1" applyBorder="1"/>
    <xf numFmtId="3" fontId="1" fillId="0" borderId="37" xfId="46" applyNumberFormat="1" applyFont="1" applyFill="1" applyBorder="1" applyAlignment="1">
      <alignment horizontal="right"/>
    </xf>
    <xf numFmtId="3" fontId="68" fillId="0" borderId="69" xfId="46" applyNumberFormat="1" applyFont="1" applyFill="1" applyBorder="1"/>
    <xf numFmtId="1" fontId="68" fillId="0" borderId="0" xfId="46" applyNumberFormat="1" applyFont="1" applyFill="1" applyBorder="1"/>
    <xf numFmtId="3" fontId="1" fillId="0" borderId="28" xfId="46" applyNumberFormat="1" applyFont="1" applyFill="1" applyBorder="1"/>
    <xf numFmtId="0" fontId="73" fillId="32" borderId="11" xfId="46" applyNumberFormat="1" applyFont="1" applyFill="1" applyBorder="1"/>
    <xf numFmtId="0" fontId="73" fillId="33" borderId="11" xfId="46" applyNumberFormat="1" applyFont="1" applyFill="1" applyBorder="1"/>
    <xf numFmtId="0" fontId="73" fillId="34" borderId="11" xfId="46" applyNumberFormat="1" applyFont="1" applyFill="1" applyBorder="1"/>
    <xf numFmtId="0" fontId="73" fillId="37" borderId="49" xfId="46" applyNumberFormat="1" applyFont="1" applyFill="1" applyBorder="1"/>
    <xf numFmtId="0" fontId="3" fillId="48" borderId="22" xfId="46" applyNumberFormat="1" applyFont="1" applyFill="1" applyBorder="1" applyAlignment="1">
      <alignment vertical="top"/>
    </xf>
    <xf numFmtId="3" fontId="3" fillId="48" borderId="15" xfId="46" applyNumberFormat="1" applyFont="1" applyFill="1" applyBorder="1"/>
    <xf numFmtId="3" fontId="3" fillId="48" borderId="18" xfId="46" applyNumberFormat="1" applyFont="1" applyFill="1" applyBorder="1"/>
    <xf numFmtId="3" fontId="3" fillId="45" borderId="10" xfId="46" applyNumberFormat="1" applyFont="1" applyFill="1" applyBorder="1"/>
    <xf numFmtId="3" fontId="3" fillId="45" borderId="11" xfId="46" applyNumberFormat="1" applyFont="1" applyFill="1" applyBorder="1"/>
    <xf numFmtId="0" fontId="1" fillId="0" borderId="0" xfId="0" applyFont="1" applyFill="1" applyAlignment="1">
      <alignment wrapText="1"/>
    </xf>
    <xf numFmtId="0" fontId="14" fillId="0" borderId="0" xfId="0" applyFont="1"/>
    <xf numFmtId="166" fontId="15" fillId="40" borderId="16" xfId="54" applyNumberFormat="1" applyFont="1" applyFill="1" applyBorder="1" applyAlignment="1">
      <alignment horizontal="right" wrapText="1"/>
    </xf>
    <xf numFmtId="0" fontId="1" fillId="0" borderId="23" xfId="0" applyFont="1" applyFill="1" applyBorder="1" applyAlignment="1">
      <alignment horizontal="left" vertical="center" wrapText="1"/>
    </xf>
    <xf numFmtId="165" fontId="1" fillId="0" borderId="23" xfId="0" applyNumberFormat="1" applyFont="1" applyFill="1" applyBorder="1"/>
    <xf numFmtId="0" fontId="12" fillId="0" borderId="24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vertical="center"/>
    </xf>
    <xf numFmtId="0" fontId="19" fillId="40" borderId="53" xfId="0" applyFont="1" applyFill="1" applyBorder="1"/>
    <xf numFmtId="0" fontId="0" fillId="0" borderId="11" xfId="0" applyFill="1" applyBorder="1"/>
    <xf numFmtId="0" fontId="15" fillId="0" borderId="12" xfId="0" applyFont="1" applyBorder="1" applyAlignment="1">
      <alignment horizontal="center" wrapText="1"/>
    </xf>
    <xf numFmtId="3" fontId="68" fillId="0" borderId="0" xfId="54" applyNumberFormat="1" applyFont="1" applyFill="1" applyBorder="1"/>
    <xf numFmtId="0" fontId="0" fillId="0" borderId="11" xfId="0" applyBorder="1"/>
    <xf numFmtId="0" fontId="0" fillId="42" borderId="11" xfId="0" applyFill="1" applyBorder="1"/>
    <xf numFmtId="0" fontId="72" fillId="42" borderId="15" xfId="46" applyNumberFormat="1" applyFont="1" applyFill="1" applyBorder="1" applyAlignment="1">
      <alignment vertical="center" wrapText="1"/>
    </xf>
    <xf numFmtId="0" fontId="72" fillId="42" borderId="134" xfId="46" applyNumberFormat="1" applyFont="1" applyFill="1" applyBorder="1" applyAlignment="1">
      <alignment vertical="center" wrapText="1"/>
    </xf>
    <xf numFmtId="0" fontId="15" fillId="40" borderId="10" xfId="0" applyFont="1" applyFill="1" applyBorder="1" applyAlignment="1">
      <alignment horizontal="center" vertical="center"/>
    </xf>
    <xf numFmtId="0" fontId="15" fillId="40" borderId="11" xfId="0" applyFont="1" applyFill="1" applyBorder="1" applyAlignment="1">
      <alignment horizontal="center" vertical="center"/>
    </xf>
    <xf numFmtId="0" fontId="15" fillId="40" borderId="22" xfId="0" applyFont="1" applyFill="1" applyBorder="1" applyAlignment="1">
      <alignment vertical="center" wrapText="1"/>
    </xf>
    <xf numFmtId="0" fontId="15" fillId="40" borderId="102" xfId="0" applyFont="1" applyFill="1" applyBorder="1" applyAlignment="1">
      <alignment horizontal="center" vertical="center"/>
    </xf>
    <xf numFmtId="0" fontId="15" fillId="40" borderId="98" xfId="0" applyFont="1" applyFill="1" applyBorder="1" applyAlignment="1">
      <alignment horizontal="center" vertical="center"/>
    </xf>
    <xf numFmtId="0" fontId="15" fillId="40" borderId="103" xfId="0" applyFont="1" applyFill="1" applyBorder="1" applyAlignment="1">
      <alignment vertical="center" wrapText="1"/>
    </xf>
    <xf numFmtId="0" fontId="73" fillId="0" borderId="0" xfId="57" applyFont="1" applyFill="1" applyProtection="1"/>
    <xf numFmtId="0" fontId="72" fillId="42" borderId="135" xfId="46" applyNumberFormat="1" applyFont="1" applyFill="1" applyBorder="1" applyAlignment="1">
      <alignment vertical="center" wrapText="1"/>
    </xf>
    <xf numFmtId="166" fontId="68" fillId="0" borderId="20" xfId="46" applyNumberFormat="1" applyFont="1" applyFill="1" applyBorder="1" applyAlignment="1"/>
    <xf numFmtId="0" fontId="47" fillId="35" borderId="0" xfId="0" applyFont="1" applyFill="1" applyBorder="1" applyAlignment="1">
      <alignment horizontal="left" vertical="center" wrapText="1"/>
    </xf>
    <xf numFmtId="3" fontId="70" fillId="0" borderId="23" xfId="46" applyNumberFormat="1" applyFont="1" applyFill="1" applyBorder="1" applyAlignment="1"/>
    <xf numFmtId="0" fontId="3" fillId="0" borderId="23" xfId="46" applyNumberFormat="1" applyFont="1" applyBorder="1"/>
    <xf numFmtId="0" fontId="3" fillId="0" borderId="0" xfId="46" applyNumberFormat="1" applyFont="1" applyBorder="1"/>
    <xf numFmtId="0" fontId="3" fillId="0" borderId="58" xfId="46" applyNumberFormat="1" applyFont="1" applyBorder="1"/>
    <xf numFmtId="0" fontId="3" fillId="0" borderId="58" xfId="46" applyNumberFormat="1" applyFont="1" applyFill="1" applyBorder="1"/>
    <xf numFmtId="0" fontId="8" fillId="0" borderId="58" xfId="46" applyNumberFormat="1" applyFont="1" applyBorder="1" applyAlignment="1"/>
    <xf numFmtId="0" fontId="1" fillId="0" borderId="58" xfId="46" applyNumberFormat="1" applyFont="1" applyFill="1" applyBorder="1"/>
    <xf numFmtId="0" fontId="3" fillId="0" borderId="0" xfId="46" applyNumberFormat="1" applyFont="1" applyFill="1" applyBorder="1" applyAlignment="1" applyProtection="1">
      <alignment horizontal="center" vertical="top" wrapText="1"/>
      <protection locked="0"/>
    </xf>
    <xf numFmtId="3" fontId="1" fillId="24" borderId="18" xfId="46" applyNumberFormat="1" applyFont="1" applyFill="1" applyBorder="1"/>
    <xf numFmtId="0" fontId="1" fillId="0" borderId="0" xfId="57" applyFont="1" applyProtection="1"/>
    <xf numFmtId="0" fontId="1" fillId="0" borderId="0" xfId="57" applyFont="1" applyFill="1" applyProtection="1"/>
    <xf numFmtId="165" fontId="1" fillId="0" borderId="0" xfId="46" applyNumberFormat="1" applyFont="1" applyFill="1" applyBorder="1" applyProtection="1"/>
    <xf numFmtId="165" fontId="1" fillId="0" borderId="0" xfId="57" applyNumberFormat="1" applyFont="1" applyProtection="1"/>
    <xf numFmtId="165" fontId="17" fillId="0" borderId="0" xfId="46" applyNumberFormat="1" applyFont="1" applyAlignment="1" applyProtection="1">
      <alignment horizontal="right" vertical="center"/>
    </xf>
    <xf numFmtId="165" fontId="1" fillId="0" borderId="0" xfId="46" applyNumberFormat="1" applyFont="1" applyFill="1" applyBorder="1" applyAlignment="1">
      <alignment horizontal="center" wrapText="1"/>
    </xf>
    <xf numFmtId="166" fontId="68" fillId="0" borderId="0" xfId="54" applyNumberFormat="1" applyFont="1" applyFill="1" applyBorder="1" applyAlignment="1"/>
    <xf numFmtId="0" fontId="15" fillId="0" borderId="11" xfId="46" applyNumberFormat="1" applyFont="1" applyBorder="1" applyAlignment="1">
      <alignment horizontal="center" vertical="center"/>
    </xf>
    <xf numFmtId="0" fontId="17" fillId="0" borderId="26" xfId="46" applyNumberFormat="1" applyFont="1" applyBorder="1" applyAlignment="1">
      <alignment vertical="center"/>
    </xf>
    <xf numFmtId="3" fontId="69" fillId="0" borderId="0" xfId="46" applyNumberFormat="1" applyFont="1" applyFill="1" applyBorder="1" applyAlignment="1"/>
    <xf numFmtId="0" fontId="69" fillId="0" borderId="25" xfId="46" applyNumberFormat="1" applyFont="1" applyFill="1" applyBorder="1" applyAlignment="1">
      <alignment horizontal="center" vertical="center" wrapText="1"/>
    </xf>
    <xf numFmtId="3" fontId="68" fillId="0" borderId="23" xfId="46" applyNumberFormat="1" applyFont="1" applyFill="1" applyBorder="1" applyAlignment="1"/>
    <xf numFmtId="165" fontId="68" fillId="0" borderId="0" xfId="46" applyNumberFormat="1" applyFont="1" applyFill="1" applyBorder="1"/>
    <xf numFmtId="165" fontId="70" fillId="0" borderId="0" xfId="46" applyNumberFormat="1" applyFont="1" applyFill="1" applyBorder="1"/>
    <xf numFmtId="165" fontId="70" fillId="0" borderId="0" xfId="46" applyNumberFormat="1" applyFont="1" applyFill="1" applyBorder="1" applyAlignment="1"/>
    <xf numFmtId="165" fontId="68" fillId="0" borderId="0" xfId="46" applyNumberFormat="1" applyFont="1" applyFill="1" applyBorder="1" applyAlignment="1"/>
    <xf numFmtId="0" fontId="17" fillId="0" borderId="0" xfId="46" applyNumberFormat="1" applyFont="1" applyFill="1" applyBorder="1" applyAlignment="1" applyProtection="1">
      <alignment horizontal="center" vertical="center" wrapText="1"/>
      <protection locked="0"/>
    </xf>
    <xf numFmtId="165" fontId="17" fillId="0" borderId="11" xfId="46" applyNumberFormat="1" applyFont="1" applyFill="1" applyBorder="1" applyAlignment="1">
      <alignment wrapText="1"/>
    </xf>
    <xf numFmtId="3" fontId="15" fillId="49" borderId="11" xfId="46" applyNumberFormat="1" applyFont="1" applyFill="1" applyBorder="1"/>
    <xf numFmtId="3" fontId="15" fillId="49" borderId="24" xfId="46" applyNumberFormat="1" applyFont="1" applyFill="1" applyBorder="1"/>
    <xf numFmtId="166" fontId="1" fillId="49" borderId="11" xfId="54" applyNumberFormat="1" applyFont="1" applyFill="1" applyBorder="1" applyAlignment="1">
      <alignment vertical="center"/>
    </xf>
    <xf numFmtId="165" fontId="1" fillId="49" borderId="101" xfId="46" applyNumberFormat="1" applyFont="1" applyFill="1" applyBorder="1" applyAlignment="1">
      <alignment vertical="center"/>
    </xf>
    <xf numFmtId="165" fontId="3" fillId="0" borderId="0" xfId="46" applyNumberFormat="1" applyFont="1"/>
    <xf numFmtId="165" fontId="3" fillId="0" borderId="0" xfId="46" applyNumberFormat="1" applyFont="1" applyFill="1" applyBorder="1"/>
    <xf numFmtId="165" fontId="17" fillId="0" borderId="11" xfId="46" applyNumberFormat="1" applyFont="1" applyFill="1" applyBorder="1"/>
    <xf numFmtId="165" fontId="3" fillId="0" borderId="11" xfId="46" applyNumberFormat="1" applyFont="1" applyFill="1" applyBorder="1" applyAlignment="1">
      <alignment vertical="center"/>
    </xf>
    <xf numFmtId="165" fontId="3" fillId="0" borderId="101" xfId="46" applyNumberFormat="1" applyFont="1" applyFill="1" applyBorder="1" applyAlignment="1">
      <alignment vertical="center"/>
    </xf>
    <xf numFmtId="165" fontId="3" fillId="0" borderId="94" xfId="46" applyNumberFormat="1" applyFont="1" applyFill="1" applyBorder="1" applyAlignment="1">
      <alignment vertical="center"/>
    </xf>
    <xf numFmtId="0" fontId="1" fillId="0" borderId="58" xfId="46" applyNumberFormat="1" applyBorder="1" applyAlignment="1"/>
    <xf numFmtId="3" fontId="70" fillId="24" borderId="98" xfId="46" applyNumberFormat="1" applyFont="1" applyFill="1" applyBorder="1" applyAlignment="1"/>
    <xf numFmtId="0" fontId="6" fillId="45" borderId="25" xfId="46" applyNumberFormat="1" applyFont="1" applyFill="1" applyBorder="1" applyAlignment="1">
      <alignment horizontal="center" vertical="center" wrapText="1"/>
    </xf>
    <xf numFmtId="3" fontId="15" fillId="0" borderId="0" xfId="0" applyNumberFormat="1" applyFont="1" applyFill="1"/>
    <xf numFmtId="0" fontId="68" fillId="0" borderId="0" xfId="46" applyNumberFormat="1" applyFont="1" applyBorder="1" applyAlignment="1">
      <alignment wrapText="1"/>
    </xf>
    <xf numFmtId="0" fontId="71" fillId="0" borderId="0" xfId="46" applyNumberFormat="1" applyFont="1" applyBorder="1" applyAlignment="1"/>
    <xf numFmtId="168" fontId="68" fillId="0" borderId="11" xfId="46" applyNumberFormat="1" applyFont="1" applyFill="1" applyBorder="1"/>
    <xf numFmtId="3" fontId="68" fillId="0" borderId="24" xfId="46" applyNumberFormat="1" applyFont="1" applyBorder="1" applyAlignment="1"/>
    <xf numFmtId="3" fontId="68" fillId="0" borderId="24" xfId="46" applyNumberFormat="1" applyFont="1" applyFill="1" applyBorder="1"/>
    <xf numFmtId="0" fontId="70" fillId="0" borderId="0" xfId="46" applyNumberFormat="1" applyFont="1" applyFill="1" applyBorder="1" applyAlignment="1">
      <alignment horizontal="center" vertical="center" wrapText="1"/>
    </xf>
    <xf numFmtId="172" fontId="68" fillId="0" borderId="61" xfId="54" applyNumberFormat="1" applyFont="1" applyFill="1" applyBorder="1" applyAlignment="1"/>
    <xf numFmtId="0" fontId="3" fillId="0" borderId="93" xfId="0" applyFont="1" applyFill="1" applyBorder="1" applyAlignment="1">
      <alignment vertical="top" wrapText="1"/>
    </xf>
    <xf numFmtId="0" fontId="3" fillId="0" borderId="27" xfId="0" applyFont="1" applyFill="1" applyBorder="1" applyAlignment="1">
      <alignment vertical="top" wrapText="1"/>
    </xf>
    <xf numFmtId="0" fontId="3" fillId="0" borderId="108" xfId="0" applyFont="1" applyFill="1" applyBorder="1" applyAlignment="1">
      <alignment vertical="top" wrapText="1"/>
    </xf>
    <xf numFmtId="0" fontId="3" fillId="0" borderId="43" xfId="0" applyFont="1" applyFill="1" applyBorder="1" applyAlignment="1">
      <alignment vertical="top" wrapText="1"/>
    </xf>
    <xf numFmtId="9" fontId="3" fillId="45" borderId="15" xfId="0" applyNumberFormat="1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1" fillId="0" borderId="16" xfId="0" applyFont="1" applyFill="1" applyBorder="1" applyAlignment="1">
      <alignment horizontal="center" vertical="center" wrapText="1"/>
    </xf>
    <xf numFmtId="166" fontId="1" fillId="0" borderId="12" xfId="54" applyNumberFormat="1" applyFont="1" applyFill="1" applyBorder="1" applyAlignment="1">
      <alignment vertical="center"/>
    </xf>
    <xf numFmtId="165" fontId="3" fillId="0" borderId="12" xfId="46" applyNumberFormat="1" applyFont="1" applyFill="1" applyBorder="1" applyAlignment="1">
      <alignment vertical="center"/>
    </xf>
    <xf numFmtId="0" fontId="15" fillId="0" borderId="58" xfId="0" applyFont="1" applyBorder="1"/>
    <xf numFmtId="0" fontId="15" fillId="0" borderId="19" xfId="0" applyFont="1" applyBorder="1" applyAlignment="1">
      <alignment horizontal="center" vertical="top"/>
    </xf>
    <xf numFmtId="0" fontId="15" fillId="0" borderId="20" xfId="0" applyFont="1" applyBorder="1" applyAlignment="1">
      <alignment horizontal="center" vertical="top"/>
    </xf>
    <xf numFmtId="0" fontId="10" fillId="0" borderId="0" xfId="0" applyFont="1" applyFill="1" applyBorder="1" applyAlignment="1">
      <alignment wrapText="1"/>
    </xf>
    <xf numFmtId="0" fontId="10" fillId="0" borderId="0" xfId="0" applyFont="1" applyAlignment="1"/>
    <xf numFmtId="0" fontId="0" fillId="0" borderId="42" xfId="0" applyBorder="1"/>
    <xf numFmtId="0" fontId="0" fillId="0" borderId="88" xfId="0" applyBorder="1"/>
    <xf numFmtId="0" fontId="0" fillId="0" borderId="63" xfId="0" applyBorder="1"/>
    <xf numFmtId="0" fontId="0" fillId="0" borderId="74" xfId="0" applyBorder="1"/>
    <xf numFmtId="0" fontId="0" fillId="0" borderId="45" xfId="0" applyBorder="1"/>
    <xf numFmtId="0" fontId="0" fillId="0" borderId="75" xfId="0" applyBorder="1"/>
    <xf numFmtId="0" fontId="64" fillId="42" borderId="12" xfId="0" applyFont="1" applyFill="1" applyBorder="1" applyAlignment="1">
      <alignment vertical="center"/>
    </xf>
    <xf numFmtId="3" fontId="3" fillId="51" borderId="15" xfId="46" applyNumberFormat="1" applyFont="1" applyFill="1" applyBorder="1"/>
    <xf numFmtId="3" fontId="70" fillId="51" borderId="11" xfId="46" applyNumberFormat="1" applyFont="1" applyFill="1" applyBorder="1" applyAlignment="1"/>
    <xf numFmtId="0" fontId="3" fillId="0" borderId="0" xfId="0" applyFont="1" applyAlignment="1"/>
    <xf numFmtId="165" fontId="1" fillId="0" borderId="11" xfId="46" applyNumberFormat="1" applyFont="1" applyFill="1" applyBorder="1" applyAlignment="1">
      <alignment vertical="center"/>
    </xf>
    <xf numFmtId="165" fontId="1" fillId="49" borderId="11" xfId="46" applyNumberFormat="1" applyFont="1" applyFill="1" applyBorder="1" applyAlignment="1">
      <alignment vertical="center"/>
    </xf>
    <xf numFmtId="3" fontId="76" fillId="0" borderId="0" xfId="46" applyNumberFormat="1" applyFont="1" applyFill="1" applyBorder="1" applyAlignment="1"/>
    <xf numFmtId="3" fontId="70" fillId="0" borderId="14" xfId="46" applyNumberFormat="1" applyFont="1" applyFill="1" applyBorder="1" applyAlignment="1"/>
    <xf numFmtId="0" fontId="70" fillId="0" borderId="14" xfId="46" applyNumberFormat="1" applyFont="1" applyFill="1" applyBorder="1"/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0" fontId="1" fillId="0" borderId="11" xfId="0" quotePrefix="1" applyFont="1" applyFill="1" applyBorder="1" applyAlignment="1">
      <alignment vertical="center" wrapText="1"/>
    </xf>
    <xf numFmtId="176" fontId="3" fillId="0" borderId="11" xfId="0" applyNumberFormat="1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/>
    </xf>
    <xf numFmtId="0" fontId="3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vertical="center" wrapText="1"/>
    </xf>
    <xf numFmtId="9" fontId="1" fillId="0" borderId="37" xfId="46" applyNumberFormat="1" applyFont="1" applyFill="1" applyBorder="1"/>
    <xf numFmtId="165" fontId="0" fillId="42" borderId="11" xfId="46" applyNumberFormat="1" applyFont="1" applyFill="1" applyBorder="1"/>
    <xf numFmtId="165" fontId="0" fillId="0" borderId="0" xfId="46" applyNumberFormat="1" applyFont="1"/>
    <xf numFmtId="165" fontId="72" fillId="42" borderId="134" xfId="46" applyNumberFormat="1" applyFont="1" applyFill="1" applyBorder="1" applyAlignment="1">
      <alignment vertical="center" wrapText="1"/>
    </xf>
    <xf numFmtId="3" fontId="1" fillId="0" borderId="0" xfId="46" applyNumberFormat="1" applyAlignment="1"/>
    <xf numFmtId="0" fontId="3" fillId="0" borderId="49" xfId="46" applyNumberFormat="1" applyFont="1" applyBorder="1" applyAlignment="1">
      <alignment vertical="center" textRotation="90" wrapText="1"/>
    </xf>
    <xf numFmtId="9" fontId="68" fillId="0" borderId="11" xfId="54" applyFont="1" applyFill="1" applyBorder="1" applyAlignment="1"/>
    <xf numFmtId="3" fontId="1" fillId="0" borderId="11" xfId="0" applyNumberFormat="1" applyFont="1" applyFill="1" applyBorder="1" applyAlignment="1">
      <alignment horizontal="right"/>
    </xf>
    <xf numFmtId="0" fontId="3" fillId="51" borderId="22" xfId="46" applyNumberFormat="1" applyFont="1" applyFill="1" applyBorder="1"/>
    <xf numFmtId="165" fontId="3" fillId="0" borderId="11" xfId="46" applyNumberFormat="1" applyFont="1" applyFill="1" applyBorder="1"/>
    <xf numFmtId="9" fontId="1" fillId="40" borderId="11" xfId="54" applyFont="1" applyFill="1" applyBorder="1"/>
    <xf numFmtId="0" fontId="3" fillId="0" borderId="0" xfId="0" applyFont="1" applyFill="1" applyBorder="1"/>
    <xf numFmtId="3" fontId="1" fillId="40" borderId="0" xfId="46" applyNumberFormat="1" applyFill="1" applyAlignment="1"/>
    <xf numFmtId="165" fontId="1" fillId="0" borderId="0" xfId="46" applyNumberFormat="1" applyFont="1" applyFill="1" applyAlignment="1" applyProtection="1">
      <alignment horizontal="right" vertical="center"/>
    </xf>
    <xf numFmtId="3" fontId="1" fillId="0" borderId="86" xfId="0" applyNumberFormat="1" applyFont="1" applyFill="1" applyBorder="1" applyAlignment="1">
      <alignment horizontal="left" vertical="top" indent="3"/>
    </xf>
    <xf numFmtId="0" fontId="1" fillId="0" borderId="50" xfId="0" applyFont="1" applyFill="1" applyBorder="1" applyAlignment="1">
      <alignment horizontal="left" vertical="top" indent="3"/>
    </xf>
    <xf numFmtId="0" fontId="1" fillId="45" borderId="19" xfId="0" applyFont="1" applyFill="1" applyBorder="1" applyAlignment="1">
      <alignment horizontal="left" vertical="center" wrapText="1"/>
    </xf>
    <xf numFmtId="0" fontId="1" fillId="0" borderId="86" xfId="0" applyFont="1" applyFill="1" applyBorder="1" applyAlignment="1">
      <alignment horizontal="left" vertical="top" indent="3"/>
    </xf>
    <xf numFmtId="0" fontId="3" fillId="0" borderId="86" xfId="0" applyFont="1" applyFill="1" applyBorder="1" applyAlignment="1">
      <alignment horizontal="left" vertical="top" indent="3"/>
    </xf>
    <xf numFmtId="0" fontId="3" fillId="0" borderId="50" xfId="0" applyFont="1" applyFill="1" applyBorder="1" applyAlignment="1">
      <alignment horizontal="left" vertical="top" indent="3"/>
    </xf>
    <xf numFmtId="0" fontId="3" fillId="45" borderId="22" xfId="0" applyFont="1" applyFill="1" applyBorder="1" applyAlignment="1">
      <alignment horizontal="left" vertical="center" wrapText="1"/>
    </xf>
    <xf numFmtId="0" fontId="3" fillId="45" borderId="15" xfId="0" applyFont="1" applyFill="1" applyBorder="1" applyAlignment="1">
      <alignment horizontal="left" vertical="center" wrapText="1"/>
    </xf>
    <xf numFmtId="0" fontId="1" fillId="0" borderId="53" xfId="0" applyFont="1" applyFill="1" applyBorder="1" applyAlignment="1">
      <alignment horizontal="left" vertical="top" wrapText="1" indent="3"/>
    </xf>
    <xf numFmtId="0" fontId="1" fillId="0" borderId="54" xfId="0" applyFont="1" applyFill="1" applyBorder="1" applyAlignment="1">
      <alignment horizontal="left" vertical="top" wrapText="1" indent="3"/>
    </xf>
    <xf numFmtId="0" fontId="1" fillId="0" borderId="86" xfId="0" applyFont="1" applyFill="1" applyBorder="1" applyAlignment="1">
      <alignment horizontal="left" vertical="top" wrapText="1" indent="3"/>
    </xf>
    <xf numFmtId="0" fontId="1" fillId="0" borderId="50" xfId="0" applyFont="1" applyFill="1" applyBorder="1" applyAlignment="1">
      <alignment horizontal="left" vertical="top" wrapText="1" indent="3"/>
    </xf>
    <xf numFmtId="3" fontId="1" fillId="0" borderId="86" xfId="0" applyNumberFormat="1" applyFont="1" applyFill="1" applyBorder="1" applyAlignment="1">
      <alignment horizontal="left" vertical="top" wrapText="1" indent="3"/>
    </xf>
    <xf numFmtId="0" fontId="3" fillId="0" borderId="86" xfId="0" applyFont="1" applyFill="1" applyBorder="1" applyAlignment="1">
      <alignment horizontal="left" vertical="top" wrapText="1" indent="3"/>
    </xf>
    <xf numFmtId="0" fontId="3" fillId="0" borderId="50" xfId="0" applyFont="1" applyFill="1" applyBorder="1" applyAlignment="1">
      <alignment horizontal="left" vertical="top" wrapText="1" indent="3"/>
    </xf>
    <xf numFmtId="0" fontId="1" fillId="45" borderId="22" xfId="0" applyFont="1" applyFill="1" applyBorder="1" applyAlignment="1">
      <alignment horizontal="left" vertical="center" wrapText="1"/>
    </xf>
    <xf numFmtId="0" fontId="1" fillId="45" borderId="15" xfId="0" applyFont="1" applyFill="1" applyBorder="1" applyAlignment="1">
      <alignment horizontal="left" vertical="center" wrapText="1"/>
    </xf>
    <xf numFmtId="0" fontId="10" fillId="40" borderId="0" xfId="0" applyFont="1" applyFill="1" applyAlignment="1">
      <alignment wrapText="1"/>
    </xf>
    <xf numFmtId="0" fontId="1" fillId="40" borderId="0" xfId="0" applyFont="1" applyFill="1" applyAlignment="1"/>
    <xf numFmtId="0" fontId="1" fillId="45" borderId="53" xfId="0" applyFont="1" applyFill="1" applyBorder="1" applyAlignment="1">
      <alignment horizontal="left" vertical="center" wrapText="1"/>
    </xf>
    <xf numFmtId="0" fontId="1" fillId="45" borderId="54" xfId="0" applyFont="1" applyFill="1" applyBorder="1" applyAlignment="1">
      <alignment horizontal="left" vertical="center" wrapText="1"/>
    </xf>
    <xf numFmtId="3" fontId="3" fillId="0" borderId="86" xfId="0" applyNumberFormat="1" applyFont="1" applyFill="1" applyBorder="1" applyAlignment="1">
      <alignment horizontal="left" vertical="top" indent="3"/>
    </xf>
    <xf numFmtId="43" fontId="68" fillId="0" borderId="0" xfId="46" applyFont="1" applyFill="1" applyBorder="1"/>
    <xf numFmtId="43" fontId="68" fillId="0" borderId="0" xfId="46" applyFont="1" applyFill="1" applyAlignment="1"/>
    <xf numFmtId="43" fontId="68" fillId="0" borderId="58" xfId="46" applyNumberFormat="1" applyFont="1" applyFill="1" applyBorder="1" applyAlignment="1"/>
    <xf numFmtId="0" fontId="1" fillId="0" borderId="15" xfId="0" applyFont="1" applyFill="1" applyBorder="1" applyAlignment="1">
      <alignment horizontal="left" vertical="center" wrapText="1"/>
    </xf>
    <xf numFmtId="10" fontId="3" fillId="0" borderId="15" xfId="0" applyNumberFormat="1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10" fontId="3" fillId="0" borderId="14" xfId="0" applyNumberFormat="1" applyFont="1" applyFill="1" applyBorder="1" applyAlignment="1">
      <alignment vertical="center" wrapText="1"/>
    </xf>
    <xf numFmtId="10" fontId="1" fillId="0" borderId="14" xfId="0" applyNumberFormat="1" applyFont="1" applyFill="1" applyBorder="1" applyAlignment="1">
      <alignment horizontal="left" vertical="center" wrapText="1"/>
    </xf>
    <xf numFmtId="0" fontId="77" fillId="0" borderId="0" xfId="0" applyFont="1" applyFill="1" applyAlignment="1">
      <alignment horizontal="justify" vertical="top"/>
    </xf>
    <xf numFmtId="0" fontId="3" fillId="0" borderId="11" xfId="0" applyFont="1" applyFill="1" applyBorder="1" applyAlignment="1">
      <alignment horizontal="justify" vertical="top"/>
    </xf>
    <xf numFmtId="43" fontId="68" fillId="0" borderId="37" xfId="46" applyFont="1" applyFill="1" applyBorder="1" applyAlignment="1"/>
    <xf numFmtId="3" fontId="68" fillId="0" borderId="37" xfId="54" applyNumberFormat="1" applyFont="1" applyFill="1" applyBorder="1"/>
    <xf numFmtId="49" fontId="63" fillId="0" borderId="0" xfId="46" applyNumberFormat="1" applyFont="1" applyFill="1"/>
    <xf numFmtId="0" fontId="1" fillId="0" borderId="97" xfId="0" applyFont="1" applyFill="1" applyBorder="1" applyAlignment="1">
      <alignment vertical="top" wrapText="1"/>
    </xf>
    <xf numFmtId="0" fontId="1" fillId="0" borderId="108" xfId="0" applyFont="1" applyFill="1" applyBorder="1" applyAlignment="1">
      <alignment vertical="center" wrapText="1"/>
    </xf>
    <xf numFmtId="0" fontId="1" fillId="0" borderId="47" xfId="0" applyFont="1" applyFill="1" applyBorder="1" applyAlignment="1">
      <alignment vertical="top" wrapText="1"/>
    </xf>
    <xf numFmtId="0" fontId="1" fillId="0" borderId="61" xfId="0" applyFont="1" applyFill="1" applyBorder="1" applyAlignment="1">
      <alignment vertical="top" wrapText="1"/>
    </xf>
    <xf numFmtId="0" fontId="1" fillId="0" borderId="109" xfId="0" applyFont="1" applyFill="1" applyBorder="1" applyAlignment="1">
      <alignment vertical="top" wrapText="1"/>
    </xf>
    <xf numFmtId="3" fontId="3" fillId="51" borderId="18" xfId="46" applyNumberFormat="1" applyFont="1" applyFill="1" applyBorder="1"/>
    <xf numFmtId="0" fontId="3" fillId="0" borderId="49" xfId="46" applyNumberFormat="1" applyFont="1" applyFill="1" applyBorder="1" applyAlignment="1">
      <alignment vertical="center" textRotation="90" wrapText="1"/>
    </xf>
    <xf numFmtId="0" fontId="1" fillId="0" borderId="42" xfId="46" applyNumberFormat="1" applyFont="1" applyFill="1" applyBorder="1"/>
    <xf numFmtId="0" fontId="1" fillId="0" borderId="45" xfId="46" applyNumberFormat="1" applyFont="1" applyFill="1" applyBorder="1"/>
    <xf numFmtId="0" fontId="3" fillId="24" borderId="33" xfId="46" applyNumberFormat="1" applyFont="1" applyFill="1" applyBorder="1"/>
    <xf numFmtId="172" fontId="68" fillId="0" borderId="30" xfId="54" applyNumberFormat="1" applyFont="1" applyBorder="1"/>
    <xf numFmtId="165" fontId="1" fillId="0" borderId="15" xfId="46" applyNumberFormat="1" applyFont="1" applyFill="1" applyBorder="1"/>
    <xf numFmtId="3" fontId="1" fillId="24" borderId="11" xfId="46" applyNumberFormat="1" applyFont="1" applyFill="1" applyBorder="1"/>
    <xf numFmtId="165" fontId="1" fillId="24" borderId="11" xfId="46" applyNumberFormat="1" applyFont="1" applyFill="1" applyBorder="1"/>
    <xf numFmtId="3" fontId="1" fillId="0" borderId="37" xfId="46" applyNumberFormat="1" applyFont="1" applyBorder="1"/>
    <xf numFmtId="0" fontId="69" fillId="40" borderId="48" xfId="46" applyNumberFormat="1" applyFont="1" applyFill="1" applyBorder="1" applyAlignment="1">
      <alignment horizontal="center" vertical="center" wrapText="1"/>
    </xf>
    <xf numFmtId="0" fontId="69" fillId="44" borderId="48" xfId="46" applyNumberFormat="1" applyFont="1" applyFill="1" applyBorder="1" applyAlignment="1">
      <alignment horizontal="center" vertical="center" wrapText="1"/>
    </xf>
    <xf numFmtId="0" fontId="17" fillId="0" borderId="125" xfId="46" applyNumberFormat="1" applyFont="1" applyFill="1" applyBorder="1" applyAlignment="1">
      <alignment horizontal="center" vertical="center" wrapText="1"/>
    </xf>
    <xf numFmtId="1" fontId="68" fillId="0" borderId="18" xfId="46" applyNumberFormat="1" applyFont="1" applyFill="1" applyBorder="1"/>
    <xf numFmtId="3" fontId="70" fillId="0" borderId="18" xfId="46" applyNumberFormat="1" applyFont="1" applyFill="1" applyBorder="1"/>
    <xf numFmtId="0" fontId="68" fillId="0" borderId="18" xfId="46" applyNumberFormat="1" applyFont="1" applyFill="1" applyBorder="1"/>
    <xf numFmtId="3" fontId="70" fillId="0" borderId="33" xfId="46" applyNumberFormat="1" applyFont="1" applyFill="1" applyBorder="1" applyAlignment="1"/>
    <xf numFmtId="3" fontId="70" fillId="24" borderId="33" xfId="46" applyNumberFormat="1" applyFont="1" applyFill="1" applyBorder="1" applyAlignment="1"/>
    <xf numFmtId="3" fontId="68" fillId="0" borderId="33" xfId="46" applyNumberFormat="1" applyFont="1" applyFill="1" applyBorder="1"/>
    <xf numFmtId="166" fontId="68" fillId="0" borderId="33" xfId="46" applyNumberFormat="1" applyFont="1" applyFill="1" applyBorder="1"/>
    <xf numFmtId="177" fontId="1" fillId="0" borderId="11" xfId="0" applyNumberFormat="1" applyFont="1" applyFill="1" applyBorder="1" applyAlignment="1">
      <alignment horizontal="right" vertical="center"/>
    </xf>
    <xf numFmtId="178" fontId="1" fillId="0" borderId="11" xfId="0" applyNumberFormat="1" applyFont="1" applyFill="1" applyBorder="1" applyAlignment="1">
      <alignment horizontal="right" vertical="center"/>
    </xf>
    <xf numFmtId="5" fontId="1" fillId="0" borderId="11" xfId="0" applyNumberFormat="1" applyFont="1" applyFill="1" applyBorder="1" applyAlignment="1">
      <alignment horizontal="right" vertical="center"/>
    </xf>
    <xf numFmtId="0" fontId="78" fillId="0" borderId="0" xfId="0" applyFont="1" applyFill="1"/>
    <xf numFmtId="0" fontId="78" fillId="0" borderId="0" xfId="0" applyFont="1" applyFill="1" applyBorder="1"/>
    <xf numFmtId="165" fontId="78" fillId="0" borderId="0" xfId="0" applyNumberFormat="1" applyFont="1" applyFill="1" applyBorder="1"/>
    <xf numFmtId="166" fontId="78" fillId="0" borderId="0" xfId="54" applyNumberFormat="1" applyFont="1" applyFill="1" applyBorder="1" applyAlignment="1">
      <alignment horizontal="center" wrapText="1"/>
    </xf>
    <xf numFmtId="0" fontId="65" fillId="42" borderId="134" xfId="46" applyNumberFormat="1" applyFont="1" applyFill="1" applyBorder="1" applyAlignment="1">
      <alignment horizontal="center" vertical="center" wrapText="1"/>
    </xf>
    <xf numFmtId="0" fontId="65" fillId="42" borderId="134" xfId="46" applyNumberFormat="1" applyFont="1" applyFill="1" applyBorder="1" applyAlignment="1">
      <alignment vertical="center" wrapText="1"/>
    </xf>
    <xf numFmtId="0" fontId="72" fillId="42" borderId="0" xfId="46" applyNumberFormat="1" applyFont="1" applyFill="1" applyBorder="1" applyAlignment="1">
      <alignment horizontal="left" vertical="center" wrapText="1"/>
    </xf>
    <xf numFmtId="0" fontId="15" fillId="40" borderId="11" xfId="0" applyFont="1" applyFill="1" applyBorder="1" applyAlignment="1">
      <alignment vertical="center" wrapText="1"/>
    </xf>
    <xf numFmtId="0" fontId="15" fillId="0" borderId="22" xfId="0" applyFont="1" applyBorder="1" applyAlignment="1">
      <alignment horizontal="left" vertical="center"/>
    </xf>
    <xf numFmtId="0" fontId="15" fillId="40" borderId="12" xfId="0" applyFont="1" applyFill="1" applyBorder="1" applyAlignment="1">
      <alignment vertical="center" wrapText="1"/>
    </xf>
    <xf numFmtId="0" fontId="72" fillId="40" borderId="15" xfId="46" applyNumberFormat="1" applyFont="1" applyFill="1" applyBorder="1" applyAlignment="1">
      <alignment horizontal="center" vertical="center" wrapText="1"/>
    </xf>
    <xf numFmtId="0" fontId="0" fillId="40" borderId="15" xfId="0" applyFill="1" applyBorder="1"/>
    <xf numFmtId="0" fontId="0" fillId="40" borderId="18" xfId="0" applyFill="1" applyBorder="1"/>
    <xf numFmtId="0" fontId="0" fillId="40" borderId="0" xfId="0" applyFill="1"/>
    <xf numFmtId="0" fontId="65" fillId="42" borderId="133" xfId="46" applyNumberFormat="1" applyFont="1" applyFill="1" applyBorder="1" applyAlignment="1">
      <alignment vertical="center" wrapText="1"/>
    </xf>
    <xf numFmtId="0" fontId="17" fillId="0" borderId="21" xfId="0" applyFont="1" applyFill="1" applyBorder="1" applyAlignment="1">
      <alignment vertical="center" wrapText="1"/>
    </xf>
    <xf numFmtId="165" fontId="65" fillId="0" borderId="153" xfId="46" applyNumberFormat="1" applyFont="1" applyFill="1" applyBorder="1" applyAlignment="1">
      <alignment horizontal="center" vertical="center" wrapText="1"/>
    </xf>
    <xf numFmtId="0" fontId="65" fillId="0" borderId="154" xfId="46" applyNumberFormat="1" applyFont="1" applyFill="1" applyBorder="1" applyAlignment="1">
      <alignment horizontal="center" vertical="center" wrapText="1"/>
    </xf>
    <xf numFmtId="165" fontId="65" fillId="0" borderId="154" xfId="46" applyNumberFormat="1" applyFont="1" applyFill="1" applyBorder="1" applyAlignment="1">
      <alignment horizontal="center" vertical="center" wrapText="1"/>
    </xf>
    <xf numFmtId="165" fontId="65" fillId="0" borderId="155" xfId="46" applyNumberFormat="1" applyFont="1" applyFill="1" applyBorder="1" applyAlignment="1">
      <alignment horizontal="center" vertical="center" wrapText="1"/>
    </xf>
    <xf numFmtId="0" fontId="17" fillId="40" borderId="11" xfId="0" applyFont="1" applyFill="1" applyBorder="1" applyAlignment="1">
      <alignment horizontal="left" vertical="center"/>
    </xf>
    <xf numFmtId="0" fontId="17" fillId="40" borderId="0" xfId="0" applyFont="1" applyFill="1" applyBorder="1" applyAlignment="1">
      <alignment horizontal="left" vertical="center"/>
    </xf>
    <xf numFmtId="0" fontId="15" fillId="40" borderId="15" xfId="0" applyFont="1" applyFill="1" applyBorder="1" applyAlignment="1">
      <alignment horizontal="left" vertical="center"/>
    </xf>
    <xf numFmtId="0" fontId="17" fillId="40" borderId="15" xfId="0" applyFont="1" applyFill="1" applyBorder="1" applyAlignment="1">
      <alignment horizontal="left" vertical="center"/>
    </xf>
    <xf numFmtId="0" fontId="15" fillId="40" borderId="11" xfId="0" applyFont="1" applyFill="1" applyBorder="1" applyAlignment="1">
      <alignment horizontal="left" vertical="center" wrapText="1"/>
    </xf>
    <xf numFmtId="0" fontId="15" fillId="29" borderId="11" xfId="0" applyFont="1" applyFill="1" applyBorder="1" applyAlignment="1">
      <alignment horizontal="left" vertical="center" wrapText="1"/>
    </xf>
    <xf numFmtId="3" fontId="10" fillId="0" borderId="0" xfId="0" applyNumberFormat="1" applyFont="1" applyAlignment="1">
      <alignment horizontal="left" vertical="center"/>
    </xf>
    <xf numFmtId="3" fontId="1" fillId="0" borderId="24" xfId="46" applyNumberFormat="1" applyFont="1" applyFill="1" applyBorder="1" applyAlignment="1">
      <alignment horizontal="left" vertical="center" wrapText="1"/>
    </xf>
    <xf numFmtId="3" fontId="1" fillId="0" borderId="73" xfId="0" applyNumberFormat="1" applyFont="1" applyBorder="1" applyAlignment="1">
      <alignment horizontal="right" vertical="center"/>
    </xf>
    <xf numFmtId="3" fontId="79" fillId="40" borderId="0" xfId="0" applyNumberFormat="1" applyFont="1" applyFill="1" applyAlignment="1"/>
    <xf numFmtId="165" fontId="1" fillId="0" borderId="0" xfId="0" applyNumberFormat="1" applyFont="1" applyFill="1" applyBorder="1"/>
    <xf numFmtId="174" fontId="1" fillId="0" borderId="23" xfId="46" applyNumberFormat="1" applyFont="1" applyFill="1" applyBorder="1" applyAlignment="1">
      <alignment horizontal="left"/>
    </xf>
    <xf numFmtId="0" fontId="10" fillId="0" borderId="0" xfId="0" applyFont="1" applyFill="1" applyBorder="1" applyAlignment="1"/>
    <xf numFmtId="174" fontId="1" fillId="0" borderId="0" xfId="46" applyNumberFormat="1" applyFont="1" applyFill="1" applyBorder="1" applyAlignment="1">
      <alignment horizontal="left"/>
    </xf>
    <xf numFmtId="166" fontId="15" fillId="0" borderId="0" xfId="54" applyNumberFormat="1" applyFont="1" applyFill="1" applyBorder="1" applyAlignment="1">
      <alignment wrapText="1"/>
    </xf>
    <xf numFmtId="165" fontId="1" fillId="0" borderId="34" xfId="46" applyNumberFormat="1" applyFont="1" applyFill="1" applyBorder="1"/>
    <xf numFmtId="3" fontId="1" fillId="0" borderId="11" xfId="0" applyNumberFormat="1" applyFont="1" applyFill="1" applyBorder="1" applyAlignment="1">
      <alignment horizontal="left" vertical="center"/>
    </xf>
    <xf numFmtId="0" fontId="15" fillId="0" borderId="24" xfId="0" applyFont="1" applyBorder="1" applyAlignment="1">
      <alignment horizont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43" fontId="1" fillId="0" borderId="11" xfId="46" applyFont="1" applyBorder="1"/>
    <xf numFmtId="43" fontId="1" fillId="0" borderId="24" xfId="46" applyFont="1" applyBorder="1"/>
    <xf numFmtId="166" fontId="1" fillId="0" borderId="24" xfId="54" applyNumberFormat="1" applyFont="1" applyBorder="1"/>
    <xf numFmtId="166" fontId="1" fillId="0" borderId="11" xfId="54" applyNumberFormat="1" applyFont="1" applyBorder="1"/>
    <xf numFmtId="10" fontId="1" fillId="0" borderId="94" xfId="54" applyNumberFormat="1" applyFont="1" applyFill="1" applyBorder="1" applyAlignment="1">
      <alignment vertical="center"/>
    </xf>
    <xf numFmtId="172" fontId="1" fillId="0" borderId="94" xfId="54" applyNumberFormat="1" applyFont="1" applyFill="1" applyBorder="1" applyAlignment="1">
      <alignment vertical="center"/>
    </xf>
    <xf numFmtId="172" fontId="1" fillId="49" borderId="94" xfId="54" applyNumberFormat="1" applyFont="1" applyFill="1" applyBorder="1" applyAlignment="1">
      <alignment vertical="center"/>
    </xf>
    <xf numFmtId="165" fontId="1" fillId="0" borderId="24" xfId="46" applyNumberFormat="1" applyFont="1" applyBorder="1"/>
    <xf numFmtId="165" fontId="0" fillId="0" borderId="11" xfId="46" applyNumberFormat="1" applyFont="1" applyFill="1" applyBorder="1"/>
    <xf numFmtId="0" fontId="1" fillId="0" borderId="68" xfId="0" applyFont="1" applyFill="1" applyBorder="1" applyAlignment="1">
      <alignment vertical="center" wrapText="1"/>
    </xf>
    <xf numFmtId="43" fontId="70" fillId="51" borderId="11" xfId="46" applyNumberFormat="1" applyFont="1" applyFill="1" applyBorder="1" applyAlignment="1"/>
    <xf numFmtId="0" fontId="3" fillId="0" borderId="11" xfId="46" applyNumberFormat="1" applyFont="1" applyFill="1" applyBorder="1"/>
    <xf numFmtId="3" fontId="70" fillId="51" borderId="98" xfId="46" applyNumberFormat="1" applyFont="1" applyFill="1" applyBorder="1" applyAlignment="1"/>
    <xf numFmtId="3" fontId="1" fillId="0" borderId="32" xfId="46" applyNumberFormat="1" applyFont="1" applyFill="1" applyBorder="1"/>
    <xf numFmtId="3" fontId="68" fillId="0" borderId="90" xfId="46" applyNumberFormat="1" applyFont="1" applyFill="1" applyBorder="1" applyAlignment="1"/>
    <xf numFmtId="3" fontId="68" fillId="0" borderId="151" xfId="46" applyNumberFormat="1" applyFont="1" applyFill="1" applyBorder="1" applyAlignment="1"/>
    <xf numFmtId="3" fontId="68" fillId="0" borderId="107" xfId="46" applyNumberFormat="1" applyFont="1" applyFill="1" applyBorder="1" applyAlignment="1"/>
    <xf numFmtId="3" fontId="68" fillId="0" borderId="152" xfId="46" applyNumberFormat="1" applyFont="1" applyFill="1" applyBorder="1" applyAlignment="1"/>
    <xf numFmtId="9" fontId="1" fillId="0" borderId="15" xfId="54" applyFont="1" applyFill="1" applyBorder="1"/>
    <xf numFmtId="9" fontId="1" fillId="0" borderId="32" xfId="54" applyFont="1" applyFill="1" applyBorder="1"/>
    <xf numFmtId="9" fontId="68" fillId="0" borderId="0" xfId="54" applyFont="1" applyFill="1" applyBorder="1"/>
    <xf numFmtId="9" fontId="68" fillId="0" borderId="0" xfId="54" applyFont="1" applyFill="1" applyBorder="1" applyAlignment="1"/>
    <xf numFmtId="9" fontId="68" fillId="0" borderId="58" xfId="54" applyFont="1" applyFill="1" applyBorder="1" applyAlignment="1"/>
    <xf numFmtId="9" fontId="68" fillId="0" borderId="20" xfId="54" applyFont="1" applyFill="1" applyBorder="1" applyAlignment="1"/>
    <xf numFmtId="9" fontId="1" fillId="0" borderId="0" xfId="54" applyFont="1" applyFill="1"/>
    <xf numFmtId="0" fontId="1" fillId="0" borderId="20" xfId="46" applyNumberFormat="1" applyFont="1" applyFill="1" applyBorder="1" applyAlignment="1">
      <alignment vertical="center" textRotation="90" wrapText="1"/>
    </xf>
    <xf numFmtId="9" fontId="1" fillId="0" borderId="20" xfId="54" applyFont="1" applyFill="1" applyBorder="1" applyAlignment="1">
      <alignment vertical="center" textRotation="90" wrapText="1"/>
    </xf>
    <xf numFmtId="0" fontId="3" fillId="0" borderId="20" xfId="46" applyNumberFormat="1" applyFont="1" applyBorder="1" applyAlignment="1">
      <alignment vertical="center" textRotation="90" wrapText="1"/>
    </xf>
    <xf numFmtId="3" fontId="70" fillId="0" borderId="23" xfId="46" applyNumberFormat="1" applyFont="1" applyFill="1" applyBorder="1"/>
    <xf numFmtId="9" fontId="1" fillId="0" borderId="22" xfId="54" applyFont="1" applyFill="1" applyBorder="1"/>
    <xf numFmtId="9" fontId="1" fillId="0" borderId="18" xfId="54" applyFont="1" applyFill="1" applyBorder="1"/>
    <xf numFmtId="0" fontId="1" fillId="0" borderId="21" xfId="46" applyNumberFormat="1" applyFont="1" applyFill="1" applyBorder="1"/>
    <xf numFmtId="3" fontId="1" fillId="0" borderId="106" xfId="46" applyNumberFormat="1" applyFont="1" applyFill="1" applyBorder="1"/>
    <xf numFmtId="3" fontId="1" fillId="0" borderId="14" xfId="46" applyNumberFormat="1" applyFont="1" applyFill="1" applyBorder="1"/>
    <xf numFmtId="3" fontId="1" fillId="0" borderId="17" xfId="46" applyNumberFormat="1" applyFont="1" applyFill="1" applyBorder="1"/>
    <xf numFmtId="0" fontId="3" fillId="24" borderId="103" xfId="46" applyNumberFormat="1" applyFont="1" applyFill="1" applyBorder="1"/>
    <xf numFmtId="3" fontId="3" fillId="0" borderId="102" xfId="46" applyNumberFormat="1" applyFont="1" applyFill="1" applyBorder="1"/>
    <xf numFmtId="3" fontId="3" fillId="0" borderId="98" xfId="46" applyNumberFormat="1" applyFont="1" applyFill="1" applyBorder="1"/>
    <xf numFmtId="0" fontId="15" fillId="0" borderId="15" xfId="0" applyFont="1" applyBorder="1" applyAlignment="1"/>
    <xf numFmtId="3" fontId="70" fillId="0" borderId="16" xfId="46" applyNumberFormat="1" applyFont="1" applyFill="1" applyBorder="1" applyAlignment="1"/>
    <xf numFmtId="3" fontId="70" fillId="0" borderId="18" xfId="46" applyNumberFormat="1" applyFont="1" applyFill="1" applyBorder="1" applyAlignment="1"/>
    <xf numFmtId="3" fontId="70" fillId="24" borderId="18" xfId="46" applyNumberFormat="1" applyFont="1" applyFill="1" applyBorder="1" applyAlignment="1"/>
    <xf numFmtId="0" fontId="69" fillId="0" borderId="0" xfId="46" applyNumberFormat="1" applyFont="1" applyFill="1" applyBorder="1" applyAlignment="1">
      <alignment horizontal="center" vertical="center" wrapText="1"/>
    </xf>
    <xf numFmtId="0" fontId="69" fillId="0" borderId="58" xfId="46" applyNumberFormat="1" applyFont="1" applyFill="1" applyBorder="1" applyAlignment="1">
      <alignment horizontal="center" vertical="center" wrapText="1"/>
    </xf>
    <xf numFmtId="3" fontId="68" fillId="0" borderId="0" xfId="46" applyNumberFormat="1" applyFont="1" applyFill="1" applyBorder="1" applyAlignment="1">
      <alignment wrapText="1"/>
    </xf>
    <xf numFmtId="3" fontId="70" fillId="0" borderId="0" xfId="46" applyNumberFormat="1" applyFont="1" applyFill="1" applyBorder="1" applyAlignment="1">
      <alignment wrapText="1"/>
    </xf>
    <xf numFmtId="43" fontId="68" fillId="0" borderId="0" xfId="46" applyFont="1" applyFill="1" applyBorder="1" applyAlignment="1"/>
    <xf numFmtId="10" fontId="68" fillId="0" borderId="0" xfId="54" applyNumberFormat="1" applyFont="1" applyFill="1" applyBorder="1" applyAlignment="1"/>
    <xf numFmtId="172" fontId="68" fillId="0" borderId="0" xfId="54" applyNumberFormat="1" applyFont="1" applyFill="1" applyBorder="1" applyAlignment="1"/>
    <xf numFmtId="3" fontId="1" fillId="0" borderId="40" xfId="0" applyNumberFormat="1" applyFont="1" applyFill="1" applyBorder="1"/>
    <xf numFmtId="165" fontId="70" fillId="24" borderId="22" xfId="46" applyNumberFormat="1" applyFont="1" applyFill="1" applyBorder="1" applyAlignment="1"/>
    <xf numFmtId="165" fontId="68" fillId="0" borderId="33" xfId="46" applyNumberFormat="1" applyFont="1" applyBorder="1" applyAlignment="1"/>
    <xf numFmtId="165" fontId="68" fillId="0" borderId="19" xfId="46" applyNumberFormat="1" applyFont="1" applyBorder="1" applyAlignment="1"/>
    <xf numFmtId="165" fontId="68" fillId="0" borderId="113" xfId="46" applyNumberFormat="1" applyFont="1" applyBorder="1" applyAlignment="1"/>
    <xf numFmtId="165" fontId="70" fillId="24" borderId="19" xfId="46" applyNumberFormat="1" applyFont="1" applyFill="1" applyBorder="1" applyAlignment="1"/>
    <xf numFmtId="165" fontId="70" fillId="24" borderId="113" xfId="46" applyNumberFormat="1" applyFont="1" applyFill="1" applyBorder="1" applyAlignment="1"/>
    <xf numFmtId="165" fontId="68" fillId="0" borderId="19" xfId="46" applyNumberFormat="1" applyFont="1" applyFill="1" applyBorder="1" applyAlignment="1"/>
    <xf numFmtId="165" fontId="68" fillId="0" borderId="113" xfId="46" applyNumberFormat="1" applyFont="1" applyFill="1" applyBorder="1" applyAlignment="1"/>
    <xf numFmtId="165" fontId="70" fillId="24" borderId="33" xfId="46" applyNumberFormat="1" applyFont="1" applyFill="1" applyBorder="1" applyAlignment="1"/>
    <xf numFmtId="3" fontId="68" fillId="24" borderId="18" xfId="46" applyNumberFormat="1" applyFont="1" applyFill="1" applyBorder="1" applyAlignment="1"/>
    <xf numFmtId="3" fontId="68" fillId="24" borderId="33" xfId="46" applyNumberFormat="1" applyFont="1" applyFill="1" applyBorder="1" applyAlignment="1"/>
    <xf numFmtId="43" fontId="68" fillId="0" borderId="158" xfId="46" applyFont="1" applyFill="1" applyBorder="1" applyAlignment="1"/>
    <xf numFmtId="172" fontId="68" fillId="0" borderId="93" xfId="54" applyNumberFormat="1" applyFont="1" applyFill="1" applyBorder="1" applyAlignment="1"/>
    <xf numFmtId="0" fontId="68" fillId="0" borderId="11" xfId="46" applyNumberFormat="1" applyFont="1" applyBorder="1"/>
    <xf numFmtId="172" fontId="1" fillId="44" borderId="61" xfId="46" applyNumberFormat="1" applyFont="1" applyFill="1" applyBorder="1"/>
    <xf numFmtId="172" fontId="68" fillId="0" borderId="11" xfId="46" applyNumberFormat="1" applyFont="1" applyBorder="1"/>
    <xf numFmtId="0" fontId="68" fillId="0" borderId="11" xfId="46" applyNumberFormat="1" applyFont="1" applyFill="1" applyBorder="1" applyAlignment="1"/>
    <xf numFmtId="0" fontId="3" fillId="0" borderId="22" xfId="46" applyNumberFormat="1" applyFont="1" applyFill="1" applyBorder="1" applyAlignment="1">
      <alignment vertical="top"/>
    </xf>
    <xf numFmtId="0" fontId="1" fillId="40" borderId="11" xfId="46" applyNumberFormat="1" applyFont="1" applyFill="1" applyBorder="1" applyAlignment="1">
      <alignment horizontal="right"/>
    </xf>
    <xf numFmtId="43" fontId="80" fillId="0" borderId="48" xfId="46" applyFont="1" applyFill="1" applyBorder="1" applyAlignment="1">
      <alignment horizontal="right"/>
    </xf>
    <xf numFmtId="0" fontId="1" fillId="0" borderId="11" xfId="46" applyNumberFormat="1" applyFont="1" applyBorder="1" applyAlignment="1">
      <alignment horizontal="right"/>
    </xf>
    <xf numFmtId="43" fontId="1" fillId="0" borderId="12" xfId="46" applyFont="1" applyBorder="1" applyAlignment="1">
      <alignment horizontal="right"/>
    </xf>
    <xf numFmtId="0" fontId="10" fillId="0" borderId="0" xfId="0" applyFont="1" applyFill="1" applyBorder="1" applyAlignment="1">
      <alignment wrapText="1"/>
    </xf>
    <xf numFmtId="0" fontId="10" fillId="0" borderId="0" xfId="0" applyFont="1" applyAlignment="1"/>
    <xf numFmtId="0" fontId="1" fillId="0" borderId="0" xfId="0" applyFont="1" applyFill="1" applyBorder="1" applyAlignment="1">
      <alignment horizontal="left" vertical="center" wrapText="1"/>
    </xf>
    <xf numFmtId="0" fontId="65" fillId="42" borderId="133" xfId="46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 wrapText="1"/>
    </xf>
    <xf numFmtId="3" fontId="1" fillId="0" borderId="76" xfId="0" applyNumberFormat="1" applyFont="1" applyFill="1" applyBorder="1" applyAlignment="1">
      <alignment horizontal="right" vertical="center"/>
    </xf>
    <xf numFmtId="3" fontId="1" fillId="45" borderId="80" xfId="0" applyNumberFormat="1" applyFont="1" applyFill="1" applyBorder="1" applyAlignment="1">
      <alignment horizontal="right" vertical="center"/>
    </xf>
    <xf numFmtId="3" fontId="1" fillId="45" borderId="87" xfId="0" applyNumberFormat="1" applyFont="1" applyFill="1" applyBorder="1" applyAlignment="1">
      <alignment horizontal="right" vertical="center"/>
    </xf>
    <xf numFmtId="3" fontId="1" fillId="45" borderId="80" xfId="0" applyNumberFormat="1" applyFont="1" applyFill="1" applyBorder="1" applyAlignment="1">
      <alignment vertical="center"/>
    </xf>
    <xf numFmtId="3" fontId="1" fillId="45" borderId="87" xfId="0" applyNumberFormat="1" applyFont="1" applyFill="1" applyBorder="1" applyAlignment="1">
      <alignment vertical="center"/>
    </xf>
    <xf numFmtId="165" fontId="3" fillId="45" borderId="15" xfId="0" applyNumberFormat="1" applyFont="1" applyFill="1" applyBorder="1" applyAlignment="1">
      <alignment horizontal="left" vertical="center" wrapText="1"/>
    </xf>
    <xf numFmtId="165" fontId="3" fillId="45" borderId="18" xfId="0" applyNumberFormat="1" applyFont="1" applyFill="1" applyBorder="1" applyAlignment="1">
      <alignment horizontal="left" vertical="center" wrapText="1"/>
    </xf>
    <xf numFmtId="0" fontId="65" fillId="42" borderId="133" xfId="46" applyNumberFormat="1" applyFont="1" applyFill="1" applyBorder="1" applyAlignment="1">
      <alignment horizontal="center" vertical="center" wrapText="1"/>
    </xf>
    <xf numFmtId="3" fontId="1" fillId="35" borderId="24" xfId="46" applyNumberFormat="1" applyFont="1" applyFill="1" applyBorder="1" applyAlignment="1" applyProtection="1">
      <alignment horizontal="left" vertical="center" wrapText="1"/>
      <protection locked="0"/>
    </xf>
    <xf numFmtId="3" fontId="1" fillId="35" borderId="24" xfId="46" applyNumberFormat="1" applyFont="1" applyFill="1" applyBorder="1" applyAlignment="1" applyProtection="1">
      <alignment horizontal="right" wrapText="1"/>
      <protection locked="0"/>
    </xf>
    <xf numFmtId="3" fontId="1" fillId="35" borderId="38" xfId="46" applyNumberFormat="1" applyFont="1" applyFill="1" applyBorder="1" applyAlignment="1" applyProtection="1">
      <alignment wrapText="1"/>
      <protection locked="0"/>
    </xf>
    <xf numFmtId="3" fontId="1" fillId="35" borderId="157" xfId="46" applyNumberFormat="1" applyFont="1" applyFill="1" applyBorder="1" applyAlignment="1" applyProtection="1">
      <alignment wrapText="1"/>
      <protection locked="0"/>
    </xf>
    <xf numFmtId="3" fontId="1" fillId="35" borderId="39" xfId="46" applyNumberFormat="1" applyFont="1" applyFill="1" applyBorder="1" applyAlignment="1" applyProtection="1">
      <alignment wrapText="1"/>
      <protection locked="0"/>
    </xf>
    <xf numFmtId="3" fontId="1" fillId="35" borderId="17" xfId="46" applyNumberFormat="1" applyFont="1" applyFill="1" applyBorder="1" applyAlignment="1" applyProtection="1">
      <alignment wrapText="1"/>
      <protection locked="0"/>
    </xf>
    <xf numFmtId="3" fontId="1" fillId="35" borderId="10" xfId="46" applyNumberFormat="1" applyFont="1" applyFill="1" applyBorder="1" applyAlignment="1" applyProtection="1">
      <alignment wrapText="1"/>
      <protection locked="0"/>
    </xf>
    <xf numFmtId="3" fontId="1" fillId="35" borderId="18" xfId="46" applyNumberFormat="1" applyFont="1" applyFill="1" applyBorder="1" applyAlignment="1" applyProtection="1">
      <alignment wrapText="1"/>
      <protection locked="0"/>
    </xf>
    <xf numFmtId="0" fontId="1" fillId="35" borderId="0" xfId="46" applyNumberFormat="1" applyFont="1" applyFill="1" applyProtection="1">
      <protection locked="0"/>
    </xf>
    <xf numFmtId="0" fontId="68" fillId="41" borderId="81" xfId="46" applyNumberFormat="1" applyFont="1" applyFill="1" applyBorder="1" applyProtection="1">
      <protection locked="0"/>
    </xf>
    <xf numFmtId="0" fontId="68" fillId="41" borderId="48" xfId="46" applyNumberFormat="1" applyFont="1" applyFill="1" applyBorder="1" applyAlignment="1" applyProtection="1">
      <protection locked="0"/>
    </xf>
    <xf numFmtId="0" fontId="60" fillId="41" borderId="48" xfId="44" applyNumberFormat="1" applyFill="1" applyBorder="1" applyAlignment="1" applyProtection="1">
      <protection locked="0"/>
    </xf>
    <xf numFmtId="3" fontId="68" fillId="35" borderId="11" xfId="46" applyNumberFormat="1" applyFont="1" applyFill="1" applyBorder="1" applyProtection="1">
      <protection locked="0"/>
    </xf>
    <xf numFmtId="3" fontId="68" fillId="25" borderId="11" xfId="46" applyNumberFormat="1" applyFont="1" applyFill="1" applyBorder="1" applyProtection="1">
      <protection locked="0"/>
    </xf>
    <xf numFmtId="3" fontId="68" fillId="41" borderId="24" xfId="46" applyNumberFormat="1" applyFont="1" applyFill="1" applyBorder="1" applyAlignment="1" applyProtection="1">
      <alignment wrapText="1"/>
      <protection locked="0"/>
    </xf>
    <xf numFmtId="3" fontId="1" fillId="35" borderId="11" xfId="46" applyNumberFormat="1" applyFont="1" applyFill="1" applyBorder="1" applyProtection="1">
      <protection locked="0"/>
    </xf>
    <xf numFmtId="3" fontId="1" fillId="35" borderId="10" xfId="46" applyNumberFormat="1" applyFont="1" applyFill="1" applyBorder="1" applyProtection="1">
      <protection locked="0"/>
    </xf>
    <xf numFmtId="3" fontId="68" fillId="35" borderId="11" xfId="46" applyNumberFormat="1" applyFont="1" applyFill="1" applyBorder="1" applyAlignment="1" applyProtection="1">
      <protection locked="0"/>
    </xf>
    <xf numFmtId="3" fontId="68" fillId="41" borderId="11" xfId="46" applyNumberFormat="1" applyFont="1" applyFill="1" applyBorder="1" applyProtection="1">
      <protection locked="0"/>
    </xf>
    <xf numFmtId="169" fontId="68" fillId="35" borderId="11" xfId="46" applyNumberFormat="1" applyFont="1" applyFill="1" applyBorder="1" applyAlignment="1" applyProtection="1">
      <protection locked="0"/>
    </xf>
    <xf numFmtId="3" fontId="68" fillId="25" borderId="11" xfId="46" applyNumberFormat="1" applyFont="1" applyFill="1" applyBorder="1" applyAlignment="1" applyProtection="1">
      <protection locked="0"/>
    </xf>
    <xf numFmtId="167" fontId="68" fillId="35" borderId="11" xfId="46" applyNumberFormat="1" applyFont="1" applyFill="1" applyBorder="1" applyAlignment="1" applyProtection="1">
      <protection locked="0"/>
    </xf>
    <xf numFmtId="4" fontId="68" fillId="41" borderId="11" xfId="46" applyNumberFormat="1" applyFont="1" applyFill="1" applyBorder="1" applyAlignment="1" applyProtection="1">
      <protection locked="0"/>
    </xf>
    <xf numFmtId="165" fontId="68" fillId="47" borderId="11" xfId="46" applyNumberFormat="1" applyFont="1" applyFill="1" applyBorder="1" applyAlignment="1" applyProtection="1">
      <protection locked="0"/>
    </xf>
    <xf numFmtId="166" fontId="68" fillId="0" borderId="11" xfId="54" applyNumberFormat="1" applyFont="1" applyFill="1" applyBorder="1" applyAlignment="1" applyProtection="1"/>
    <xf numFmtId="0" fontId="1" fillId="41" borderId="11" xfId="46" applyNumberFormat="1" applyFont="1" applyFill="1" applyBorder="1" applyAlignment="1" applyProtection="1">
      <alignment horizontal="center"/>
      <protection locked="0"/>
    </xf>
    <xf numFmtId="9" fontId="68" fillId="35" borderId="11" xfId="46" applyNumberFormat="1" applyFont="1" applyFill="1" applyBorder="1" applyAlignment="1" applyProtection="1">
      <protection locked="0"/>
    </xf>
    <xf numFmtId="165" fontId="1" fillId="35" borderId="10" xfId="46" applyNumberFormat="1" applyFont="1" applyFill="1" applyBorder="1" applyAlignment="1" applyProtection="1">
      <alignment wrapText="1"/>
      <protection locked="0"/>
    </xf>
    <xf numFmtId="165" fontId="1" fillId="35" borderId="18" xfId="46" applyNumberFormat="1" applyFont="1" applyFill="1" applyBorder="1" applyAlignment="1" applyProtection="1">
      <alignment wrapText="1"/>
      <protection locked="0"/>
    </xf>
    <xf numFmtId="0" fontId="1" fillId="35" borderId="37" xfId="46" applyNumberFormat="1" applyFont="1" applyFill="1" applyBorder="1" applyAlignment="1" applyProtection="1">
      <alignment horizontal="center"/>
      <protection locked="0"/>
    </xf>
    <xf numFmtId="0" fontId="1" fillId="41" borderId="37" xfId="46" applyNumberFormat="1" applyFont="1" applyFill="1" applyBorder="1" applyAlignment="1" applyProtection="1">
      <alignment horizontal="center"/>
      <protection locked="0"/>
    </xf>
    <xf numFmtId="3" fontId="70" fillId="35" borderId="11" xfId="46" applyNumberFormat="1" applyFont="1" applyFill="1" applyBorder="1" applyAlignment="1" applyProtection="1">
      <protection locked="0"/>
    </xf>
    <xf numFmtId="3" fontId="70" fillId="41" borderId="24" xfId="46" applyNumberFormat="1" applyFont="1" applyFill="1" applyBorder="1" applyAlignment="1" applyProtection="1">
      <protection locked="0"/>
    </xf>
    <xf numFmtId="3" fontId="70" fillId="46" borderId="24" xfId="46" applyNumberFormat="1" applyFont="1" applyFill="1" applyBorder="1" applyAlignment="1" applyProtection="1">
      <protection locked="0"/>
    </xf>
    <xf numFmtId="3" fontId="70" fillId="35" borderId="24" xfId="46" applyNumberFormat="1" applyFont="1" applyFill="1" applyBorder="1" applyAlignment="1" applyProtection="1">
      <protection locked="0"/>
    </xf>
    <xf numFmtId="3" fontId="68" fillId="41" borderId="11" xfId="46" applyNumberFormat="1" applyFont="1" applyFill="1" applyBorder="1" applyAlignment="1" applyProtection="1">
      <protection locked="0"/>
    </xf>
    <xf numFmtId="3" fontId="15" fillId="41" borderId="11" xfId="46" applyNumberFormat="1" applyFont="1" applyFill="1" applyBorder="1" applyProtection="1">
      <protection locked="0"/>
    </xf>
    <xf numFmtId="165" fontId="66" fillId="41" borderId="11" xfId="0" applyNumberFormat="1" applyFont="1" applyFill="1" applyBorder="1" applyProtection="1">
      <protection locked="0"/>
    </xf>
    <xf numFmtId="0" fontId="12" fillId="0" borderId="15" xfId="0" applyFont="1" applyBorder="1" applyAlignment="1" applyProtection="1">
      <alignment horizontal="center" wrapText="1"/>
      <protection locked="0"/>
    </xf>
    <xf numFmtId="165" fontId="1" fillId="41" borderId="11" xfId="46" applyNumberFormat="1" applyFont="1" applyFill="1" applyBorder="1" applyAlignment="1" applyProtection="1">
      <alignment vertical="center"/>
      <protection locked="0"/>
    </xf>
    <xf numFmtId="165" fontId="1" fillId="41" borderId="101" xfId="46" applyNumberFormat="1" applyFont="1" applyFill="1" applyBorder="1" applyAlignment="1" applyProtection="1">
      <alignment vertical="center"/>
      <protection locked="0"/>
    </xf>
    <xf numFmtId="165" fontId="15" fillId="35" borderId="11" xfId="46" applyNumberFormat="1" applyFont="1" applyFill="1" applyBorder="1" applyAlignment="1" applyProtection="1">
      <alignment wrapText="1"/>
      <protection locked="0"/>
    </xf>
    <xf numFmtId="3" fontId="15" fillId="46" borderId="11" xfId="46" applyNumberFormat="1" applyFont="1" applyFill="1" applyBorder="1" applyProtection="1">
      <protection locked="0"/>
    </xf>
    <xf numFmtId="3" fontId="15" fillId="25" borderId="11" xfId="46" applyNumberFormat="1" applyFont="1" applyFill="1" applyBorder="1" applyAlignment="1" applyProtection="1">
      <alignment wrapText="1"/>
      <protection locked="0"/>
    </xf>
    <xf numFmtId="3" fontId="15" fillId="25" borderId="22" xfId="46" applyNumberFormat="1" applyFont="1" applyFill="1" applyBorder="1" applyAlignment="1" applyProtection="1">
      <alignment wrapText="1"/>
      <protection locked="0"/>
    </xf>
    <xf numFmtId="3" fontId="15" fillId="35" borderId="11" xfId="0" applyNumberFormat="1" applyFont="1" applyFill="1" applyBorder="1" applyProtection="1">
      <protection locked="0"/>
    </xf>
    <xf numFmtId="3" fontId="15" fillId="25" borderId="21" xfId="46" applyNumberFormat="1" applyFont="1" applyFill="1" applyBorder="1" applyAlignment="1" applyProtection="1">
      <alignment wrapText="1"/>
      <protection locked="0"/>
    </xf>
    <xf numFmtId="3" fontId="15" fillId="25" borderId="11" xfId="0" applyNumberFormat="1" applyFont="1" applyFill="1" applyBorder="1" applyProtection="1">
      <protection locked="0"/>
    </xf>
    <xf numFmtId="3" fontId="15" fillId="35" borderId="21" xfId="46" applyNumberFormat="1" applyFont="1" applyFill="1" applyBorder="1" applyAlignment="1" applyProtection="1">
      <alignment wrapText="1"/>
      <protection locked="0"/>
    </xf>
    <xf numFmtId="3" fontId="15" fillId="35" borderId="22" xfId="46" applyNumberFormat="1" applyFont="1" applyFill="1" applyBorder="1" applyProtection="1">
      <protection locked="0"/>
    </xf>
    <xf numFmtId="3" fontId="15" fillId="25" borderId="22" xfId="46" applyNumberFormat="1" applyFont="1" applyFill="1" applyBorder="1" applyProtection="1">
      <protection locked="0"/>
    </xf>
    <xf numFmtId="0" fontId="15" fillId="25" borderId="11" xfId="0" applyFont="1" applyFill="1" applyBorder="1" applyProtection="1">
      <protection locked="0"/>
    </xf>
    <xf numFmtId="3" fontId="15" fillId="0" borderId="11" xfId="46" applyNumberFormat="1" applyFont="1" applyFill="1" applyBorder="1" applyProtection="1"/>
    <xf numFmtId="3" fontId="15" fillId="0" borderId="15" xfId="46" applyNumberFormat="1" applyFont="1" applyFill="1" applyBorder="1" applyProtection="1"/>
    <xf numFmtId="3" fontId="17" fillId="0" borderId="15" xfId="46" applyNumberFormat="1" applyFont="1" applyFill="1" applyBorder="1" applyProtection="1"/>
    <xf numFmtId="3" fontId="3" fillId="0" borderId="11" xfId="46" applyNumberFormat="1" applyFont="1" applyFill="1" applyBorder="1" applyProtection="1"/>
    <xf numFmtId="3" fontId="3" fillId="49" borderId="11" xfId="46" applyNumberFormat="1" applyFont="1" applyFill="1" applyBorder="1" applyProtection="1"/>
    <xf numFmtId="3" fontId="3" fillId="0" borderId="22" xfId="46" applyNumberFormat="1" applyFont="1" applyFill="1" applyBorder="1" applyProtection="1"/>
    <xf numFmtId="3" fontId="3" fillId="0" borderId="11" xfId="46" applyNumberFormat="1" applyFont="1" applyFill="1" applyBorder="1" applyAlignment="1" applyProtection="1">
      <alignment wrapText="1"/>
    </xf>
    <xf numFmtId="165" fontId="3" fillId="0" borderId="11" xfId="46" applyNumberFormat="1" applyFont="1" applyFill="1" applyBorder="1" applyAlignment="1" applyProtection="1">
      <alignment wrapText="1"/>
    </xf>
    <xf numFmtId="3" fontId="17" fillId="0" borderId="23" xfId="46" applyNumberFormat="1" applyFont="1" applyFill="1" applyBorder="1" applyProtection="1"/>
    <xf numFmtId="3" fontId="15" fillId="0" borderId="23" xfId="46" applyNumberFormat="1" applyFont="1" applyFill="1" applyBorder="1" applyProtection="1"/>
    <xf numFmtId="3" fontId="15" fillId="0" borderId="0" xfId="46" applyNumberFormat="1" applyFont="1" applyFill="1" applyBorder="1" applyProtection="1"/>
    <xf numFmtId="0" fontId="15" fillId="0" borderId="0" xfId="0" applyFont="1" applyFill="1" applyBorder="1" applyProtection="1"/>
    <xf numFmtId="165" fontId="17" fillId="0" borderId="0" xfId="46" applyNumberFormat="1" applyFont="1" applyFill="1" applyBorder="1" applyProtection="1"/>
    <xf numFmtId="3" fontId="15" fillId="43" borderId="0" xfId="46" applyNumberFormat="1" applyFont="1" applyFill="1" applyBorder="1" applyProtection="1"/>
    <xf numFmtId="3" fontId="15" fillId="31" borderId="0" xfId="46" applyNumberFormat="1" applyFont="1" applyFill="1" applyBorder="1" applyProtection="1"/>
    <xf numFmtId="165" fontId="17" fillId="31" borderId="0" xfId="46" applyNumberFormat="1" applyFont="1" applyFill="1" applyBorder="1" applyProtection="1"/>
    <xf numFmtId="3" fontId="17" fillId="0" borderId="14" xfId="46" applyNumberFormat="1" applyFont="1" applyFill="1" applyBorder="1" applyProtection="1"/>
    <xf numFmtId="3" fontId="15" fillId="0" borderId="14" xfId="46" applyNumberFormat="1" applyFont="1" applyFill="1" applyBorder="1" applyProtection="1"/>
    <xf numFmtId="0" fontId="15" fillId="0" borderId="14" xfId="0" applyFont="1" applyFill="1" applyBorder="1" applyProtection="1"/>
    <xf numFmtId="165" fontId="17" fillId="0" borderId="14" xfId="46" applyNumberFormat="1" applyFont="1" applyFill="1" applyBorder="1" applyProtection="1"/>
    <xf numFmtId="0" fontId="17" fillId="0" borderId="0" xfId="0" applyFont="1" applyBorder="1" applyProtection="1"/>
    <xf numFmtId="0" fontId="17" fillId="0" borderId="0" xfId="0" applyFont="1" applyBorder="1" applyAlignment="1" applyProtection="1">
      <alignment horizontal="center" wrapText="1"/>
    </xf>
    <xf numFmtId="3" fontId="17" fillId="0" borderId="14" xfId="46" applyNumberFormat="1" applyFont="1" applyFill="1" applyBorder="1" applyAlignment="1" applyProtection="1">
      <alignment wrapText="1"/>
    </xf>
    <xf numFmtId="3" fontId="17" fillId="0" borderId="0" xfId="46" applyNumberFormat="1" applyFont="1" applyFill="1" applyBorder="1" applyAlignment="1" applyProtection="1">
      <alignment wrapText="1"/>
    </xf>
    <xf numFmtId="0" fontId="17" fillId="0" borderId="0" xfId="0" applyFont="1" applyFill="1" applyBorder="1" applyProtection="1"/>
    <xf numFmtId="0" fontId="65" fillId="31" borderId="19" xfId="0" applyFont="1" applyFill="1" applyBorder="1" applyProtection="1"/>
    <xf numFmtId="0" fontId="15" fillId="31" borderId="15" xfId="0" applyFont="1" applyFill="1" applyBorder="1" applyProtection="1"/>
    <xf numFmtId="0" fontId="15" fillId="31" borderId="11" xfId="0" applyFont="1" applyFill="1" applyBorder="1" applyAlignment="1" applyProtection="1">
      <alignment horizontal="center" wrapText="1"/>
    </xf>
    <xf numFmtId="0" fontId="15" fillId="31" borderId="24" xfId="0" applyFont="1" applyFill="1" applyBorder="1" applyAlignment="1" applyProtection="1">
      <alignment horizontal="center" wrapText="1"/>
    </xf>
    <xf numFmtId="3" fontId="15" fillId="31" borderId="24" xfId="46" applyNumberFormat="1" applyFont="1" applyFill="1" applyBorder="1" applyAlignment="1" applyProtection="1">
      <alignment wrapText="1"/>
    </xf>
    <xf numFmtId="3" fontId="15" fillId="43" borderId="24" xfId="46" applyNumberFormat="1" applyFont="1" applyFill="1" applyBorder="1" applyAlignment="1" applyProtection="1">
      <alignment wrapText="1"/>
    </xf>
    <xf numFmtId="3" fontId="15" fillId="31" borderId="21" xfId="46" applyNumberFormat="1" applyFont="1" applyFill="1" applyBorder="1" applyAlignment="1" applyProtection="1">
      <alignment wrapText="1"/>
    </xf>
    <xf numFmtId="3" fontId="15" fillId="31" borderId="100" xfId="46" applyNumberFormat="1" applyFont="1" applyFill="1" applyBorder="1" applyAlignment="1" applyProtection="1">
      <alignment wrapText="1"/>
    </xf>
    <xf numFmtId="3" fontId="15" fillId="31" borderId="0" xfId="46" applyNumberFormat="1" applyFont="1" applyFill="1" applyBorder="1" applyAlignment="1" applyProtection="1">
      <alignment wrapText="1"/>
    </xf>
    <xf numFmtId="165" fontId="17" fillId="31" borderId="0" xfId="46" applyNumberFormat="1" applyFont="1" applyFill="1" applyBorder="1" applyAlignment="1" applyProtection="1">
      <alignment wrapText="1"/>
    </xf>
    <xf numFmtId="0" fontId="15" fillId="0" borderId="14" xfId="0" applyFont="1" applyBorder="1" applyProtection="1"/>
    <xf numFmtId="0" fontId="15" fillId="0" borderId="14" xfId="0" applyFont="1" applyBorder="1" applyAlignment="1" applyProtection="1">
      <alignment horizontal="center" wrapText="1"/>
    </xf>
    <xf numFmtId="3" fontId="15" fillId="0" borderId="15" xfId="46" applyNumberFormat="1" applyFont="1" applyFill="1" applyBorder="1" applyAlignment="1" applyProtection="1">
      <alignment wrapText="1"/>
    </xf>
    <xf numFmtId="3" fontId="15" fillId="0" borderId="14" xfId="46" applyNumberFormat="1" applyFont="1" applyFill="1" applyBorder="1" applyAlignment="1" applyProtection="1">
      <alignment wrapText="1"/>
    </xf>
    <xf numFmtId="3" fontId="3" fillId="0" borderId="11" xfId="46" applyNumberFormat="1" applyFont="1" applyBorder="1" applyProtection="1"/>
    <xf numFmtId="0" fontId="8" fillId="0" borderId="0" xfId="46" applyNumberFormat="1" applyFont="1" applyProtection="1"/>
    <xf numFmtId="165" fontId="1" fillId="0" borderId="11" xfId="46" applyNumberFormat="1" applyFont="1" applyFill="1" applyBorder="1" applyAlignment="1" applyProtection="1">
      <alignment vertical="center"/>
    </xf>
    <xf numFmtId="166" fontId="1" fillId="0" borderId="11" xfId="54" applyNumberFormat="1" applyFont="1" applyFill="1" applyBorder="1" applyAlignment="1" applyProtection="1">
      <alignment vertical="center"/>
    </xf>
    <xf numFmtId="166" fontId="1" fillId="0" borderId="12" xfId="54" applyNumberFormat="1" applyFont="1" applyFill="1" applyBorder="1" applyAlignment="1" applyProtection="1">
      <alignment vertical="center"/>
    </xf>
    <xf numFmtId="165" fontId="1" fillId="0" borderId="101" xfId="46" applyNumberFormat="1" applyFont="1" applyFill="1" applyBorder="1" applyAlignment="1" applyProtection="1">
      <alignment vertical="center"/>
    </xf>
    <xf numFmtId="172" fontId="1" fillId="0" borderId="94" xfId="54" applyNumberFormat="1" applyFont="1" applyFill="1" applyBorder="1" applyAlignment="1" applyProtection="1">
      <alignment vertical="center"/>
    </xf>
    <xf numFmtId="0" fontId="15" fillId="40" borderId="20" xfId="0" applyFont="1" applyFill="1" applyBorder="1" applyProtection="1"/>
    <xf numFmtId="0" fontId="15" fillId="0" borderId="18" xfId="0" applyFont="1" applyBorder="1" applyProtection="1"/>
    <xf numFmtId="0" fontId="15" fillId="0" borderId="11" xfId="0" applyFont="1" applyBorder="1" applyAlignment="1" applyProtection="1">
      <alignment horizontal="center" wrapText="1"/>
    </xf>
    <xf numFmtId="3" fontId="15" fillId="0" borderId="11" xfId="46" applyNumberFormat="1" applyFont="1" applyFill="1" applyBorder="1" applyAlignment="1" applyProtection="1">
      <alignment wrapText="1"/>
    </xf>
    <xf numFmtId="3" fontId="15" fillId="49" borderId="11" xfId="46" applyNumberFormat="1" applyFont="1" applyFill="1" applyBorder="1" applyProtection="1"/>
    <xf numFmtId="3" fontId="15" fillId="0" borderId="22" xfId="46" applyNumberFormat="1" applyFont="1" applyFill="1" applyBorder="1" applyProtection="1"/>
    <xf numFmtId="3" fontId="15" fillId="0" borderId="11" xfId="0" applyNumberFormat="1" applyFont="1" applyFill="1" applyBorder="1" applyProtection="1"/>
    <xf numFmtId="165" fontId="17" fillId="0" borderId="11" xfId="46" applyNumberFormat="1" applyFont="1" applyFill="1" applyBorder="1" applyProtection="1"/>
    <xf numFmtId="0" fontId="15" fillId="0" borderId="0" xfId="0" applyFont="1" applyFill="1" applyProtection="1"/>
    <xf numFmtId="0" fontId="3" fillId="0" borderId="21" xfId="0" applyFont="1" applyBorder="1" applyProtection="1"/>
    <xf numFmtId="0" fontId="3" fillId="0" borderId="15" xfId="0" applyFont="1" applyBorder="1" applyProtection="1"/>
    <xf numFmtId="0" fontId="3" fillId="0" borderId="15" xfId="0" applyFont="1" applyBorder="1" applyAlignment="1" applyProtection="1">
      <alignment horizontal="center" wrapText="1"/>
    </xf>
    <xf numFmtId="3" fontId="1" fillId="0" borderId="11" xfId="46" applyNumberFormat="1" applyFont="1" applyFill="1" applyBorder="1" applyAlignment="1" applyProtection="1">
      <alignment wrapText="1"/>
    </xf>
    <xf numFmtId="0" fontId="3" fillId="0" borderId="0" xfId="0" applyFont="1" applyFill="1" applyProtection="1"/>
    <xf numFmtId="0" fontId="15" fillId="40" borderId="21" xfId="0" applyFont="1" applyFill="1" applyBorder="1" applyProtection="1"/>
    <xf numFmtId="0" fontId="15" fillId="40" borderId="15" xfId="0" applyFont="1" applyFill="1" applyBorder="1" applyProtection="1"/>
    <xf numFmtId="0" fontId="12" fillId="40" borderId="15" xfId="0" applyFont="1" applyFill="1" applyBorder="1" applyAlignment="1" applyProtection="1">
      <alignment horizontal="center" wrapText="1"/>
    </xf>
    <xf numFmtId="3" fontId="15" fillId="0" borderId="24" xfId="46" applyNumberFormat="1" applyFont="1" applyFill="1" applyBorder="1" applyAlignment="1" applyProtection="1">
      <alignment wrapText="1"/>
    </xf>
    <xf numFmtId="3" fontId="17" fillId="0" borderId="11" xfId="46" applyNumberFormat="1" applyFont="1" applyFill="1" applyBorder="1" applyAlignment="1" applyProtection="1">
      <alignment wrapText="1"/>
    </xf>
    <xf numFmtId="165" fontId="17" fillId="0" borderId="11" xfId="46" applyNumberFormat="1" applyFont="1" applyFill="1" applyBorder="1" applyAlignment="1" applyProtection="1">
      <alignment wrapText="1"/>
    </xf>
    <xf numFmtId="0" fontId="3" fillId="40" borderId="22" xfId="0" applyFont="1" applyFill="1" applyBorder="1" applyProtection="1"/>
    <xf numFmtId="0" fontId="1" fillId="40" borderId="15" xfId="0" applyFont="1" applyFill="1" applyBorder="1" applyProtection="1"/>
    <xf numFmtId="0" fontId="1" fillId="40" borderId="15" xfId="0" applyFont="1" applyFill="1" applyBorder="1" applyAlignment="1" applyProtection="1">
      <alignment horizontal="center" wrapText="1"/>
    </xf>
    <xf numFmtId="0" fontId="1" fillId="0" borderId="0" xfId="0" applyFont="1" applyFill="1" applyProtection="1"/>
    <xf numFmtId="0" fontId="15" fillId="40" borderId="22" xfId="0" applyFont="1" applyFill="1" applyBorder="1" applyProtection="1"/>
    <xf numFmtId="0" fontId="15" fillId="40" borderId="15" xfId="0" applyFont="1" applyFill="1" applyBorder="1" applyAlignment="1" applyProtection="1">
      <alignment horizontal="center" wrapText="1"/>
    </xf>
    <xf numFmtId="0" fontId="3" fillId="0" borderId="22" xfId="0" applyFont="1" applyBorder="1" applyProtection="1"/>
    <xf numFmtId="0" fontId="3" fillId="0" borderId="18" xfId="0" applyFont="1" applyBorder="1" applyAlignment="1" applyProtection="1">
      <alignment horizontal="center" wrapText="1"/>
    </xf>
    <xf numFmtId="3" fontId="3" fillId="0" borderId="22" xfId="46" applyNumberFormat="1" applyFont="1" applyBorder="1" applyProtection="1"/>
    <xf numFmtId="165" fontId="3" fillId="0" borderId="11" xfId="46" applyNumberFormat="1" applyFont="1" applyBorder="1" applyProtection="1"/>
    <xf numFmtId="0" fontId="3" fillId="0" borderId="0" xfId="0" applyFont="1" applyProtection="1"/>
    <xf numFmtId="0" fontId="14" fillId="0" borderId="0" xfId="0" applyFont="1" applyAlignment="1" applyProtection="1">
      <alignment horizontal="center" wrapText="1"/>
    </xf>
    <xf numFmtId="0" fontId="1" fillId="0" borderId="0" xfId="46" applyNumberFormat="1" applyFont="1" applyProtection="1"/>
    <xf numFmtId="0" fontId="1" fillId="0" borderId="0" xfId="46" applyNumberFormat="1" applyFont="1" applyFill="1" applyProtection="1"/>
    <xf numFmtId="0" fontId="1" fillId="0" borderId="0" xfId="0" applyFont="1" applyProtection="1"/>
    <xf numFmtId="165" fontId="3" fillId="0" borderId="0" xfId="46" applyNumberFormat="1" applyFont="1" applyProtection="1"/>
    <xf numFmtId="0" fontId="1" fillId="0" borderId="18" xfId="46" applyNumberFormat="1" applyFont="1" applyBorder="1" applyAlignment="1" applyProtection="1">
      <alignment horizontal="center"/>
    </xf>
    <xf numFmtId="0" fontId="1" fillId="0" borderId="18" xfId="0" applyFont="1" applyBorder="1" applyAlignment="1" applyProtection="1">
      <alignment horizontal="center"/>
    </xf>
    <xf numFmtId="0" fontId="1" fillId="0" borderId="34" xfId="46" applyNumberFormat="1" applyFont="1" applyBorder="1" applyProtection="1"/>
    <xf numFmtId="0" fontId="1" fillId="0" borderId="81" xfId="46" applyNumberFormat="1" applyFont="1" applyFill="1" applyBorder="1" applyProtection="1"/>
    <xf numFmtId="0" fontId="1" fillId="0" borderId="11" xfId="0" applyFont="1" applyBorder="1" applyAlignment="1" applyProtection="1">
      <alignment horizontal="center"/>
    </xf>
    <xf numFmtId="0" fontId="17" fillId="0" borderId="98" xfId="46" applyNumberFormat="1" applyFont="1" applyBorder="1" applyAlignment="1" applyProtection="1">
      <alignment horizontal="center" vertical="center" wrapText="1"/>
    </xf>
    <xf numFmtId="0" fontId="17" fillId="44" borderId="98" xfId="46" applyNumberFormat="1" applyFont="1" applyFill="1" applyBorder="1" applyAlignment="1" applyProtection="1">
      <alignment horizontal="center" vertical="center" wrapText="1"/>
    </xf>
    <xf numFmtId="0" fontId="17" fillId="0" borderId="98" xfId="46" applyNumberFormat="1" applyFont="1" applyFill="1" applyBorder="1" applyAlignment="1" applyProtection="1">
      <alignment horizontal="center" vertical="center" wrapText="1"/>
    </xf>
    <xf numFmtId="0" fontId="17" fillId="0" borderId="48" xfId="46" applyNumberFormat="1" applyFont="1" applyBorder="1" applyAlignment="1" applyProtection="1">
      <alignment horizontal="center" vertical="center" wrapText="1"/>
    </xf>
    <xf numFmtId="0" fontId="17" fillId="44" borderId="48" xfId="46" applyNumberFormat="1" applyFont="1" applyFill="1" applyBorder="1" applyAlignment="1" applyProtection="1">
      <alignment horizontal="center" vertical="center" wrapText="1"/>
    </xf>
    <xf numFmtId="0" fontId="17" fillId="0" borderId="25" xfId="46" applyNumberFormat="1" applyFont="1" applyBorder="1" applyAlignment="1" applyProtection="1">
      <alignment horizontal="center" vertical="center" wrapText="1"/>
    </xf>
    <xf numFmtId="0" fontId="17" fillId="40" borderId="25" xfId="46" applyNumberFormat="1" applyFont="1" applyFill="1" applyBorder="1" applyAlignment="1" applyProtection="1">
      <alignment horizontal="center" vertical="center" wrapText="1"/>
    </xf>
    <xf numFmtId="0" fontId="17" fillId="0" borderId="25" xfId="46" applyNumberFormat="1" applyFont="1" applyFill="1" applyBorder="1" applyAlignment="1" applyProtection="1">
      <alignment horizontal="center" vertical="center" wrapText="1"/>
    </xf>
    <xf numFmtId="0" fontId="17" fillId="0" borderId="11" xfId="46" applyNumberFormat="1" applyFont="1" applyBorder="1" applyAlignment="1" applyProtection="1">
      <alignment horizontal="center" vertical="center" wrapText="1"/>
    </xf>
    <xf numFmtId="0" fontId="17" fillId="49" borderId="25" xfId="46" applyNumberFormat="1" applyFont="1" applyFill="1" applyBorder="1" applyAlignment="1" applyProtection="1">
      <alignment horizontal="center" vertical="center" wrapText="1"/>
    </xf>
    <xf numFmtId="0" fontId="65" fillId="32" borderId="25" xfId="46" applyNumberFormat="1" applyFont="1" applyFill="1" applyBorder="1" applyAlignment="1" applyProtection="1">
      <alignment horizontal="center" vertical="center" wrapText="1"/>
    </xf>
    <xf numFmtId="0" fontId="17" fillId="25" borderId="25" xfId="46" applyNumberFormat="1" applyFont="1" applyFill="1" applyBorder="1" applyAlignment="1" applyProtection="1">
      <alignment horizontal="center" vertical="center" wrapText="1"/>
    </xf>
    <xf numFmtId="0" fontId="17" fillId="26" borderId="25" xfId="46" applyNumberFormat="1" applyFont="1" applyFill="1" applyBorder="1" applyAlignment="1" applyProtection="1">
      <alignment horizontal="center" vertical="center" wrapText="1"/>
    </xf>
    <xf numFmtId="0" fontId="17" fillId="27" borderId="25" xfId="46" applyNumberFormat="1" applyFont="1" applyFill="1" applyBorder="1" applyAlignment="1" applyProtection="1">
      <alignment horizontal="center" vertical="center" wrapText="1"/>
    </xf>
    <xf numFmtId="0" fontId="17" fillId="28" borderId="25" xfId="46" applyNumberFormat="1" applyFont="1" applyFill="1" applyBorder="1" applyAlignment="1" applyProtection="1">
      <alignment horizontal="center" vertical="center" wrapText="1"/>
    </xf>
    <xf numFmtId="0" fontId="65" fillId="33" borderId="26" xfId="46" applyNumberFormat="1" applyFont="1" applyFill="1" applyBorder="1" applyAlignment="1" applyProtection="1">
      <alignment horizontal="center" vertical="center" wrapText="1"/>
    </xf>
    <xf numFmtId="0" fontId="65" fillId="34" borderId="26" xfId="46" applyNumberFormat="1" applyFont="1" applyFill="1" applyBorder="1" applyAlignment="1" applyProtection="1">
      <alignment horizontal="center" vertical="center" wrapText="1"/>
    </xf>
    <xf numFmtId="0" fontId="65" fillId="37" borderId="89" xfId="46" applyNumberFormat="1" applyFont="1" applyFill="1" applyBorder="1" applyAlignment="1" applyProtection="1">
      <alignment horizontal="center" vertical="center" wrapText="1"/>
    </xf>
    <xf numFmtId="0" fontId="15" fillId="0" borderId="11" xfId="46" applyNumberFormat="1" applyFont="1" applyFill="1" applyBorder="1" applyAlignment="1" applyProtection="1">
      <alignment horizontal="center" vertical="center" wrapText="1"/>
    </xf>
    <xf numFmtId="0" fontId="15" fillId="0" borderId="11" xfId="0" applyFont="1" applyBorder="1" applyAlignment="1" applyProtection="1">
      <alignment horizontal="center" vertical="center" wrapText="1"/>
    </xf>
    <xf numFmtId="0" fontId="17" fillId="0" borderId="11" xfId="0" applyFont="1" applyBorder="1" applyAlignment="1" applyProtection="1">
      <alignment horizontal="center" vertical="center" wrapText="1"/>
    </xf>
    <xf numFmtId="165" fontId="17" fillId="0" borderId="11" xfId="46" applyNumberFormat="1" applyFont="1" applyBorder="1" applyAlignment="1" applyProtection="1">
      <alignment horizontal="center" vertical="center" wrapText="1"/>
    </xf>
    <xf numFmtId="0" fontId="15" fillId="0" borderId="0" xfId="0" applyFont="1" applyBorder="1" applyProtection="1"/>
    <xf numFmtId="0" fontId="15" fillId="0" borderId="0" xfId="0" applyFont="1" applyBorder="1" applyAlignment="1" applyProtection="1">
      <alignment horizontal="center" wrapText="1"/>
    </xf>
    <xf numFmtId="3" fontId="15" fillId="0" borderId="99" xfId="46" applyNumberFormat="1" applyFont="1" applyFill="1" applyBorder="1" applyAlignment="1" applyProtection="1">
      <alignment wrapText="1"/>
    </xf>
    <xf numFmtId="3" fontId="15" fillId="0" borderId="0" xfId="46" applyNumberFormat="1" applyFont="1" applyFill="1" applyBorder="1" applyAlignment="1" applyProtection="1">
      <alignment wrapText="1"/>
    </xf>
    <xf numFmtId="3" fontId="15" fillId="31" borderId="14" xfId="46" applyNumberFormat="1" applyFont="1" applyFill="1" applyBorder="1" applyAlignment="1" applyProtection="1">
      <alignment wrapText="1"/>
    </xf>
    <xf numFmtId="165" fontId="17" fillId="31" borderId="14" xfId="46" applyNumberFormat="1" applyFont="1" applyFill="1" applyBorder="1" applyAlignment="1" applyProtection="1">
      <alignment wrapText="1"/>
    </xf>
    <xf numFmtId="0" fontId="3" fillId="0" borderId="14" xfId="0" applyFont="1" applyBorder="1" applyProtection="1"/>
    <xf numFmtId="0" fontId="3" fillId="0" borderId="11" xfId="0" applyFont="1" applyBorder="1" applyAlignment="1" applyProtection="1">
      <alignment horizontal="center" wrapText="1"/>
    </xf>
    <xf numFmtId="0" fontId="3" fillId="0" borderId="0" xfId="0" applyFont="1" applyFill="1" applyBorder="1" applyProtection="1"/>
    <xf numFmtId="0" fontId="15" fillId="0" borderId="15" xfId="0" applyFont="1" applyFill="1" applyBorder="1" applyProtection="1"/>
    <xf numFmtId="165" fontId="17" fillId="0" borderId="15" xfId="46" applyNumberFormat="1" applyFont="1" applyFill="1" applyBorder="1" applyProtection="1"/>
    <xf numFmtId="0" fontId="15" fillId="0" borderId="15" xfId="0" applyFont="1" applyBorder="1" applyProtection="1"/>
    <xf numFmtId="3" fontId="17" fillId="0" borderId="0" xfId="46" applyNumberFormat="1" applyFont="1" applyFill="1" applyBorder="1" applyProtection="1"/>
    <xf numFmtId="0" fontId="65" fillId="31" borderId="0" xfId="0" applyFont="1" applyFill="1" applyBorder="1" applyProtection="1"/>
    <xf numFmtId="0" fontId="15" fillId="31" borderId="0" xfId="0" applyFont="1" applyFill="1" applyBorder="1" applyProtection="1"/>
    <xf numFmtId="0" fontId="15" fillId="31" borderId="0" xfId="0" applyFont="1" applyFill="1" applyBorder="1" applyAlignment="1" applyProtection="1">
      <alignment horizontal="center" wrapText="1"/>
    </xf>
    <xf numFmtId="0" fontId="15" fillId="30" borderId="14" xfId="0" applyFont="1" applyFill="1" applyBorder="1" applyProtection="1"/>
    <xf numFmtId="0" fontId="15" fillId="30" borderId="0" xfId="0" applyFont="1" applyFill="1" applyBorder="1" applyProtection="1"/>
    <xf numFmtId="0" fontId="15" fillId="30" borderId="14" xfId="0" applyFont="1" applyFill="1" applyBorder="1" applyAlignment="1" applyProtection="1">
      <alignment horizontal="center" wrapText="1"/>
    </xf>
    <xf numFmtId="165" fontId="1" fillId="41" borderId="11" xfId="0" applyNumberFormat="1" applyFont="1" applyFill="1" applyBorder="1" applyProtection="1">
      <protection locked="0"/>
    </xf>
    <xf numFmtId="0" fontId="1" fillId="41" borderId="11" xfId="0" applyFont="1" applyFill="1" applyBorder="1" applyProtection="1">
      <protection locked="0"/>
    </xf>
    <xf numFmtId="0" fontId="15" fillId="41" borderId="11" xfId="46" applyNumberFormat="1" applyFont="1" applyFill="1" applyBorder="1" applyAlignment="1" applyProtection="1">
      <alignment horizontal="left" vertical="center" wrapText="1"/>
      <protection locked="0"/>
    </xf>
    <xf numFmtId="3" fontId="1" fillId="41" borderId="11" xfId="0" applyNumberFormat="1" applyFont="1" applyFill="1" applyBorder="1" applyAlignment="1" applyProtection="1">
      <alignment horizontal="right"/>
      <protection locked="0"/>
    </xf>
    <xf numFmtId="0" fontId="1" fillId="41" borderId="11" xfId="0" applyFont="1" applyFill="1" applyBorder="1" applyAlignment="1" applyProtection="1">
      <alignment horizontal="left"/>
      <protection locked="0"/>
    </xf>
    <xf numFmtId="165" fontId="1" fillId="41" borderId="11" xfId="46" applyNumberFormat="1" applyFont="1" applyFill="1" applyBorder="1" applyAlignment="1" applyProtection="1">
      <alignment horizontal="left"/>
      <protection locked="0"/>
    </xf>
    <xf numFmtId="3" fontId="1" fillId="41" borderId="11" xfId="46" applyNumberFormat="1" applyFont="1" applyFill="1" applyBorder="1" applyAlignment="1" applyProtection="1">
      <alignment horizontal="right"/>
      <protection locked="0"/>
    </xf>
    <xf numFmtId="3" fontId="1" fillId="41" borderId="11" xfId="0" applyNumberFormat="1" applyFont="1" applyFill="1" applyBorder="1" applyProtection="1">
      <protection locked="0"/>
    </xf>
    <xf numFmtId="0" fontId="67" fillId="41" borderId="11" xfId="0" applyFont="1" applyFill="1" applyBorder="1" applyProtection="1">
      <protection locked="0"/>
    </xf>
    <xf numFmtId="3" fontId="67" fillId="41" borderId="11" xfId="0" applyNumberFormat="1" applyFont="1" applyFill="1" applyBorder="1" applyProtection="1">
      <protection locked="0"/>
    </xf>
    <xf numFmtId="0" fontId="10" fillId="0" borderId="0" xfId="61" applyFont="1" applyAlignment="1" applyProtection="1">
      <alignment horizontal="center" vertical="top"/>
    </xf>
    <xf numFmtId="165" fontId="10" fillId="0" borderId="0" xfId="46" applyNumberFormat="1" applyFont="1" applyFill="1" applyBorder="1" applyAlignment="1" applyProtection="1">
      <alignment vertical="top" wrapText="1"/>
    </xf>
    <xf numFmtId="165" fontId="74" fillId="0" borderId="0" xfId="46" applyNumberFormat="1" applyFont="1" applyProtection="1"/>
    <xf numFmtId="165" fontId="59" fillId="0" borderId="0" xfId="46" applyNumberFormat="1" applyFont="1" applyProtection="1"/>
    <xf numFmtId="165" fontId="75" fillId="0" borderId="0" xfId="46" applyNumberFormat="1" applyFont="1" applyProtection="1"/>
    <xf numFmtId="0" fontId="59" fillId="0" borderId="0" xfId="60" applyFont="1" applyProtection="1"/>
    <xf numFmtId="174" fontId="65" fillId="42" borderId="128" xfId="61" applyNumberFormat="1" applyFont="1" applyFill="1" applyBorder="1" applyAlignment="1" applyProtection="1">
      <alignment horizontal="center" vertical="center" wrapText="1"/>
    </xf>
    <xf numFmtId="1" fontId="65" fillId="42" borderId="128" xfId="61" applyNumberFormat="1" applyFont="1" applyFill="1" applyBorder="1" applyAlignment="1" applyProtection="1">
      <alignment horizontal="center" vertical="center" wrapText="1"/>
    </xf>
    <xf numFmtId="165" fontId="65" fillId="42" borderId="128" xfId="46" applyNumberFormat="1" applyFont="1" applyFill="1" applyBorder="1" applyAlignment="1" applyProtection="1">
      <alignment horizontal="center" vertical="center" wrapText="1"/>
    </xf>
    <xf numFmtId="165" fontId="65" fillId="42" borderId="129" xfId="46" applyNumberFormat="1" applyFont="1" applyFill="1" applyBorder="1" applyAlignment="1" applyProtection="1">
      <alignment horizontal="center" vertical="center" wrapText="1"/>
    </xf>
    <xf numFmtId="0" fontId="59" fillId="0" borderId="0" xfId="60" applyFont="1" applyFill="1" applyProtection="1"/>
    <xf numFmtId="1" fontId="65" fillId="0" borderId="21" xfId="61" applyNumberFormat="1" applyFont="1" applyFill="1" applyBorder="1" applyAlignment="1" applyProtection="1">
      <alignment horizontal="center" vertical="center" wrapText="1"/>
    </xf>
    <xf numFmtId="1" fontId="65" fillId="0" borderId="14" xfId="61" applyNumberFormat="1" applyFont="1" applyFill="1" applyBorder="1" applyAlignment="1" applyProtection="1">
      <alignment horizontal="center" vertical="center" wrapText="1"/>
    </xf>
    <xf numFmtId="165" fontId="65" fillId="0" borderId="136" xfId="46" applyNumberFormat="1" applyFont="1" applyFill="1" applyBorder="1" applyAlignment="1" applyProtection="1">
      <alignment horizontal="center" vertical="center" wrapText="1"/>
    </xf>
    <xf numFmtId="165" fontId="65" fillId="0" borderId="138" xfId="46" applyNumberFormat="1" applyFont="1" applyFill="1" applyBorder="1" applyAlignment="1" applyProtection="1">
      <alignment horizontal="center" vertical="center" wrapText="1"/>
    </xf>
    <xf numFmtId="165" fontId="72" fillId="42" borderId="130" xfId="46" applyNumberFormat="1" applyFont="1" applyFill="1" applyBorder="1" applyAlignment="1" applyProtection="1">
      <alignment horizontal="center" vertical="center" wrapText="1"/>
    </xf>
    <xf numFmtId="165" fontId="65" fillId="42" borderId="130" xfId="46" applyNumberFormat="1" applyFont="1" applyFill="1" applyBorder="1" applyAlignment="1" applyProtection="1">
      <alignment horizontal="center" vertical="center" wrapText="1"/>
    </xf>
    <xf numFmtId="165" fontId="65" fillId="42" borderId="131" xfId="46" applyNumberFormat="1" applyFont="1" applyFill="1" applyBorder="1" applyAlignment="1" applyProtection="1">
      <alignment horizontal="center" vertical="center" wrapText="1"/>
    </xf>
    <xf numFmtId="165" fontId="1" fillId="29" borderId="15" xfId="46" applyNumberFormat="1" applyFont="1" applyFill="1" applyBorder="1" applyAlignment="1" applyProtection="1">
      <alignment vertical="center"/>
    </xf>
    <xf numFmtId="165" fontId="74" fillId="0" borderId="15" xfId="46" applyNumberFormat="1" applyFont="1" applyBorder="1" applyProtection="1"/>
    <xf numFmtId="165" fontId="59" fillId="0" borderId="15" xfId="46" applyNumberFormat="1" applyFont="1" applyBorder="1" applyProtection="1"/>
    <xf numFmtId="165" fontId="75" fillId="0" borderId="23" xfId="46" applyNumberFormat="1" applyFont="1" applyBorder="1" applyProtection="1"/>
    <xf numFmtId="165" fontId="75" fillId="0" borderId="16" xfId="46" applyNumberFormat="1" applyFont="1" applyBorder="1" applyProtection="1"/>
    <xf numFmtId="0" fontId="15" fillId="0" borderId="11" xfId="0" applyFont="1" applyFill="1" applyBorder="1" applyAlignment="1" applyProtection="1">
      <alignment vertical="center" wrapText="1"/>
    </xf>
    <xf numFmtId="0" fontId="17" fillId="0" borderId="11" xfId="0" applyFont="1" applyFill="1" applyBorder="1" applyAlignment="1" applyProtection="1">
      <alignment vertical="center" wrapText="1"/>
    </xf>
    <xf numFmtId="0" fontId="17" fillId="40" borderId="18" xfId="0" applyFont="1" applyFill="1" applyBorder="1" applyAlignment="1" applyProtection="1">
      <alignment vertical="center"/>
    </xf>
    <xf numFmtId="0" fontId="17" fillId="40" borderId="22" xfId="0" applyFont="1" applyFill="1" applyBorder="1" applyAlignment="1" applyProtection="1">
      <alignment vertical="center"/>
    </xf>
    <xf numFmtId="0" fontId="17" fillId="40" borderId="15" xfId="0" applyFont="1" applyFill="1" applyBorder="1" applyAlignment="1" applyProtection="1">
      <alignment vertical="center"/>
    </xf>
    <xf numFmtId="165" fontId="74" fillId="0" borderId="15" xfId="46" applyNumberFormat="1" applyFont="1" applyBorder="1" applyAlignment="1" applyProtection="1">
      <alignment horizontal="center" vertical="center"/>
    </xf>
    <xf numFmtId="165" fontId="75" fillId="0" borderId="32" xfId="46" applyNumberFormat="1" applyFont="1" applyBorder="1" applyAlignment="1" applyProtection="1">
      <alignment horizontal="center" vertical="center"/>
    </xf>
    <xf numFmtId="165" fontId="75" fillId="0" borderId="92" xfId="46" applyNumberFormat="1" applyFont="1" applyBorder="1" applyAlignment="1" applyProtection="1">
      <alignment horizontal="center" vertical="center"/>
    </xf>
    <xf numFmtId="165" fontId="72" fillId="42" borderId="137" xfId="46" applyNumberFormat="1" applyFont="1" applyFill="1" applyBorder="1" applyAlignment="1" applyProtection="1">
      <alignment horizontal="center" vertical="center" wrapText="1"/>
    </xf>
    <xf numFmtId="165" fontId="72" fillId="42" borderId="139" xfId="46" applyNumberFormat="1" applyFont="1" applyFill="1" applyBorder="1" applyAlignment="1" applyProtection="1">
      <alignment horizontal="center" vertical="center" wrapText="1"/>
    </xf>
    <xf numFmtId="165" fontId="72" fillId="42" borderId="140" xfId="46" applyNumberFormat="1" applyFont="1" applyFill="1" applyBorder="1" applyAlignment="1" applyProtection="1">
      <alignment horizontal="center" vertical="center" wrapText="1"/>
    </xf>
    <xf numFmtId="165" fontId="72" fillId="42" borderId="141" xfId="46" applyNumberFormat="1" applyFont="1" applyFill="1" applyBorder="1" applyAlignment="1" applyProtection="1">
      <alignment horizontal="center" vertical="center" wrapText="1"/>
    </xf>
    <xf numFmtId="0" fontId="72" fillId="0" borderId="0" xfId="47" applyNumberFormat="1" applyFont="1" applyFill="1" applyBorder="1" applyAlignment="1" applyProtection="1">
      <alignment horizontal="left" vertical="center" wrapText="1"/>
    </xf>
    <xf numFmtId="165" fontId="72" fillId="0" borderId="0" xfId="46" applyNumberFormat="1" applyFont="1" applyFill="1" applyBorder="1" applyAlignment="1" applyProtection="1">
      <alignment horizontal="center" vertical="center" wrapText="1"/>
    </xf>
    <xf numFmtId="165" fontId="65" fillId="0" borderId="0" xfId="46" applyNumberFormat="1" applyFont="1" applyFill="1" applyBorder="1" applyAlignment="1" applyProtection="1">
      <alignment horizontal="center" vertical="center" wrapText="1"/>
    </xf>
    <xf numFmtId="165" fontId="72" fillId="42" borderId="0" xfId="46" applyNumberFormat="1" applyFont="1" applyFill="1" applyBorder="1" applyAlignment="1" applyProtection="1">
      <alignment horizontal="center" vertical="center" wrapText="1"/>
    </xf>
    <xf numFmtId="165" fontId="65" fillId="42" borderId="0" xfId="46" applyNumberFormat="1" applyFont="1" applyFill="1" applyBorder="1" applyAlignment="1" applyProtection="1">
      <alignment horizontal="center" vertical="center" wrapText="1"/>
    </xf>
    <xf numFmtId="165" fontId="65" fillId="42" borderId="104" xfId="46" applyNumberFormat="1" applyFont="1" applyFill="1" applyBorder="1" applyAlignment="1" applyProtection="1">
      <alignment horizontal="center" vertical="center" wrapText="1"/>
    </xf>
    <xf numFmtId="165" fontId="65" fillId="42" borderId="105" xfId="46" applyNumberFormat="1" applyFont="1" applyFill="1" applyBorder="1" applyAlignment="1" applyProtection="1">
      <alignment horizontal="center" vertical="center" wrapText="1"/>
    </xf>
    <xf numFmtId="0" fontId="17" fillId="40" borderId="22" xfId="0" applyFont="1" applyFill="1" applyBorder="1" applyAlignment="1" applyProtection="1">
      <alignment vertical="center" wrapText="1"/>
    </xf>
    <xf numFmtId="0" fontId="17" fillId="40" borderId="22" xfId="51" applyFont="1" applyFill="1" applyBorder="1" applyAlignment="1" applyProtection="1">
      <alignment vertical="center"/>
    </xf>
    <xf numFmtId="0" fontId="17" fillId="40" borderId="15" xfId="51" applyFont="1" applyFill="1" applyBorder="1" applyAlignment="1" applyProtection="1">
      <alignment vertical="center"/>
    </xf>
    <xf numFmtId="0" fontId="17" fillId="40" borderId="18" xfId="51" applyFont="1" applyFill="1" applyBorder="1" applyAlignment="1" applyProtection="1">
      <alignment vertical="center"/>
    </xf>
    <xf numFmtId="165" fontId="72" fillId="0" borderId="14" xfId="46" applyNumberFormat="1" applyFont="1" applyFill="1" applyBorder="1" applyAlignment="1" applyProtection="1">
      <alignment horizontal="center" vertical="center" wrapText="1"/>
    </xf>
    <xf numFmtId="165" fontId="65" fillId="0" borderId="14" xfId="46" applyNumberFormat="1" applyFont="1" applyFill="1" applyBorder="1" applyAlignment="1" applyProtection="1">
      <alignment horizontal="center" vertical="center" wrapText="1"/>
    </xf>
    <xf numFmtId="165" fontId="75" fillId="0" borderId="106" xfId="46" applyNumberFormat="1" applyFont="1" applyBorder="1" applyAlignment="1" applyProtection="1">
      <alignment horizontal="center" vertical="center"/>
    </xf>
    <xf numFmtId="165" fontId="75" fillId="0" borderId="100" xfId="46" applyNumberFormat="1" applyFont="1" applyBorder="1" applyAlignment="1" applyProtection="1">
      <alignment horizontal="center" vertical="center"/>
    </xf>
    <xf numFmtId="0" fontId="15" fillId="40" borderId="22" xfId="0" applyFont="1" applyFill="1" applyBorder="1" applyAlignment="1" applyProtection="1">
      <alignment vertical="center"/>
    </xf>
    <xf numFmtId="0" fontId="15" fillId="40" borderId="22" xfId="51" applyFont="1" applyFill="1" applyBorder="1" applyAlignment="1" applyProtection="1">
      <alignment vertical="center"/>
    </xf>
    <xf numFmtId="0" fontId="15" fillId="0" borderId="12" xfId="0" applyFont="1" applyFill="1" applyBorder="1" applyAlignment="1" applyProtection="1">
      <alignment vertical="center"/>
    </xf>
    <xf numFmtId="4" fontId="17" fillId="0" borderId="11" xfId="61" applyNumberFormat="1" applyFont="1" applyFill="1" applyBorder="1" applyAlignment="1" applyProtection="1">
      <alignment horizontal="center" vertical="center" wrapText="1"/>
    </xf>
    <xf numFmtId="165" fontId="15" fillId="0" borderId="11" xfId="46" applyNumberFormat="1" applyFont="1" applyFill="1" applyBorder="1" applyAlignment="1" applyProtection="1">
      <alignment horizontal="center" vertical="center" wrapText="1"/>
    </xf>
    <xf numFmtId="165" fontId="15" fillId="0" borderId="22" xfId="46" applyNumberFormat="1" applyFont="1" applyFill="1" applyBorder="1" applyAlignment="1" applyProtection="1">
      <alignment horizontal="center" vertical="center" wrapText="1"/>
    </xf>
    <xf numFmtId="165" fontId="17" fillId="0" borderId="10" xfId="46" applyNumberFormat="1" applyFont="1" applyFill="1" applyBorder="1" applyAlignment="1" applyProtection="1">
      <alignment horizontal="center" vertical="center" wrapText="1"/>
    </xf>
    <xf numFmtId="165" fontId="17" fillId="0" borderId="33" xfId="46" applyNumberFormat="1" applyFont="1" applyFill="1" applyBorder="1" applyAlignment="1" applyProtection="1">
      <alignment horizontal="center" vertical="center" wrapText="1"/>
    </xf>
    <xf numFmtId="0" fontId="15" fillId="0" borderId="12" xfId="51" applyFont="1" applyFill="1" applyBorder="1" applyAlignment="1" applyProtection="1">
      <alignment vertical="center"/>
    </xf>
    <xf numFmtId="0" fontId="15" fillId="0" borderId="11" xfId="0" applyFont="1" applyFill="1" applyBorder="1" applyAlignment="1" applyProtection="1">
      <alignment vertical="center"/>
    </xf>
    <xf numFmtId="0" fontId="15" fillId="40" borderId="19" xfId="51" applyFont="1" applyFill="1" applyBorder="1" applyAlignment="1" applyProtection="1">
      <alignment vertical="center"/>
    </xf>
    <xf numFmtId="0" fontId="15" fillId="0" borderId="49" xfId="51" applyFont="1" applyFill="1" applyBorder="1" applyAlignment="1" applyProtection="1">
      <alignment vertical="center"/>
    </xf>
    <xf numFmtId="0" fontId="15" fillId="0" borderId="24" xfId="0" applyFont="1" applyFill="1" applyBorder="1" applyAlignment="1" applyProtection="1">
      <alignment horizontal="left" vertical="center" wrapText="1"/>
    </xf>
    <xf numFmtId="0" fontId="15" fillId="0" borderId="11" xfId="0" applyFont="1" applyFill="1" applyBorder="1" applyAlignment="1" applyProtection="1">
      <alignment horizontal="left" vertical="center" wrapText="1"/>
    </xf>
    <xf numFmtId="0" fontId="17" fillId="0" borderId="22" xfId="0" applyFont="1" applyFill="1" applyBorder="1" applyAlignment="1" applyProtection="1">
      <alignment vertical="center" wrapText="1"/>
    </xf>
    <xf numFmtId="0" fontId="17" fillId="0" borderId="22" xfId="51" applyFont="1" applyFill="1" applyBorder="1" applyAlignment="1" applyProtection="1">
      <alignment vertical="center"/>
    </xf>
    <xf numFmtId="0" fontId="17" fillId="0" borderId="15" xfId="51" applyFont="1" applyFill="1" applyBorder="1" applyAlignment="1" applyProtection="1">
      <alignment vertical="center"/>
    </xf>
    <xf numFmtId="43" fontId="17" fillId="0" borderId="18" xfId="46" applyFont="1" applyFill="1" applyBorder="1" applyAlignment="1" applyProtection="1">
      <alignment vertical="center"/>
    </xf>
    <xf numFmtId="165" fontId="15" fillId="0" borderId="15" xfId="46" applyNumberFormat="1" applyFont="1" applyFill="1" applyBorder="1" applyAlignment="1" applyProtection="1">
      <alignment horizontal="center" vertical="center" wrapText="1"/>
    </xf>
    <xf numFmtId="165" fontId="17" fillId="0" borderId="32" xfId="46" applyNumberFormat="1" applyFont="1" applyFill="1" applyBorder="1" applyAlignment="1" applyProtection="1">
      <alignment horizontal="center" vertical="center" wrapText="1"/>
    </xf>
    <xf numFmtId="165" fontId="17" fillId="0" borderId="92" xfId="46" applyNumberFormat="1" applyFont="1" applyFill="1" applyBorder="1" applyAlignment="1" applyProtection="1">
      <alignment horizontal="center" vertical="center" wrapText="1"/>
    </xf>
    <xf numFmtId="0" fontId="15" fillId="0" borderId="22" xfId="51" applyFont="1" applyFill="1" applyBorder="1" applyAlignment="1" applyProtection="1">
      <alignment vertical="center"/>
    </xf>
    <xf numFmtId="0" fontId="15" fillId="0" borderId="19" xfId="51" applyFont="1" applyFill="1" applyBorder="1" applyAlignment="1" applyProtection="1">
      <alignment vertical="center"/>
    </xf>
    <xf numFmtId="0" fontId="15" fillId="0" borderId="12" xfId="0" applyFont="1" applyFill="1" applyBorder="1" applyAlignment="1" applyProtection="1">
      <alignment vertical="center" wrapText="1"/>
    </xf>
    <xf numFmtId="43" fontId="17" fillId="40" borderId="18" xfId="46" applyFont="1" applyFill="1" applyBorder="1" applyAlignment="1" applyProtection="1">
      <alignment vertical="center"/>
    </xf>
    <xf numFmtId="0" fontId="15" fillId="0" borderId="24" xfId="0" applyFont="1" applyFill="1" applyBorder="1" applyAlignment="1" applyProtection="1">
      <alignment vertical="center"/>
    </xf>
    <xf numFmtId="0" fontId="17" fillId="40" borderId="15" xfId="0" applyFont="1" applyFill="1" applyBorder="1" applyAlignment="1" applyProtection="1">
      <alignment vertical="center" wrapText="1"/>
    </xf>
    <xf numFmtId="43" fontId="17" fillId="40" borderId="18" xfId="46" applyFont="1" applyFill="1" applyBorder="1" applyAlignment="1" applyProtection="1">
      <alignment vertical="center" wrapText="1"/>
    </xf>
    <xf numFmtId="0" fontId="15" fillId="0" borderId="22" xfId="0" applyFont="1" applyFill="1" applyBorder="1" applyAlignment="1" applyProtection="1">
      <alignment vertical="center"/>
    </xf>
    <xf numFmtId="4" fontId="15" fillId="0" borderId="11" xfId="0" applyNumberFormat="1" applyFont="1" applyFill="1" applyBorder="1" applyAlignment="1" applyProtection="1">
      <alignment vertical="center"/>
    </xf>
    <xf numFmtId="174" fontId="15" fillId="0" borderId="11" xfId="0" applyNumberFormat="1" applyFont="1" applyFill="1" applyBorder="1" applyAlignment="1" applyProtection="1">
      <alignment vertical="center"/>
    </xf>
    <xf numFmtId="1" fontId="15" fillId="0" borderId="11" xfId="0" applyNumberFormat="1" applyFont="1" applyFill="1" applyBorder="1" applyAlignment="1" applyProtection="1">
      <alignment horizontal="left" vertical="center"/>
    </xf>
    <xf numFmtId="175" fontId="15" fillId="0" borderId="11" xfId="0" applyNumberFormat="1" applyFont="1" applyFill="1" applyBorder="1" applyAlignment="1" applyProtection="1">
      <alignment vertical="center"/>
    </xf>
    <xf numFmtId="0" fontId="15" fillId="0" borderId="12" xfId="0" applyFont="1" applyFill="1" applyBorder="1" applyAlignment="1" applyProtection="1">
      <alignment horizontal="left" vertical="center" wrapText="1"/>
    </xf>
    <xf numFmtId="0" fontId="17" fillId="0" borderId="22" xfId="0" applyFont="1" applyFill="1" applyBorder="1" applyAlignment="1" applyProtection="1">
      <alignment vertical="center"/>
    </xf>
    <xf numFmtId="0" fontId="17" fillId="0" borderId="15" xfId="0" applyFont="1" applyFill="1" applyBorder="1" applyAlignment="1" applyProtection="1">
      <alignment vertical="center"/>
    </xf>
    <xf numFmtId="0" fontId="15" fillId="0" borderId="19" xfId="0" applyFont="1" applyFill="1" applyBorder="1" applyAlignment="1" applyProtection="1">
      <alignment vertical="center"/>
    </xf>
    <xf numFmtId="0" fontId="15" fillId="0" borderId="24" xfId="0" applyFont="1" applyFill="1" applyBorder="1" applyAlignment="1" applyProtection="1">
      <alignment vertical="center" wrapText="1"/>
    </xf>
    <xf numFmtId="0" fontId="15" fillId="40" borderId="15" xfId="0" applyFont="1" applyFill="1" applyBorder="1" applyAlignment="1" applyProtection="1">
      <alignment vertical="center"/>
    </xf>
    <xf numFmtId="4" fontId="15" fillId="0" borderId="11" xfId="0" applyNumberFormat="1" applyFont="1" applyFill="1" applyBorder="1" applyAlignment="1" applyProtection="1">
      <alignment horizontal="left" vertical="center" wrapText="1"/>
    </xf>
    <xf numFmtId="0" fontId="15" fillId="40" borderId="19" xfId="0" applyFont="1" applyFill="1" applyBorder="1" applyAlignment="1" applyProtection="1">
      <alignment vertical="center"/>
    </xf>
    <xf numFmtId="4" fontId="15" fillId="0" borderId="12" xfId="0" applyNumberFormat="1" applyFont="1" applyFill="1" applyBorder="1" applyAlignment="1" applyProtection="1">
      <alignment horizontal="left" vertical="center" wrapText="1"/>
    </xf>
    <xf numFmtId="2" fontId="15" fillId="0" borderId="24" xfId="0" applyNumberFormat="1" applyFont="1" applyFill="1" applyBorder="1" applyAlignment="1" applyProtection="1">
      <alignment horizontal="left" vertical="center" wrapText="1"/>
    </xf>
    <xf numFmtId="2" fontId="15" fillId="0" borderId="11" xfId="0" applyNumberFormat="1" applyFont="1" applyFill="1" applyBorder="1" applyAlignment="1" applyProtection="1">
      <alignment horizontal="left" vertical="center" wrapText="1"/>
    </xf>
    <xf numFmtId="0" fontId="15" fillId="0" borderId="11" xfId="0" applyFont="1" applyFill="1" applyBorder="1" applyAlignment="1" applyProtection="1">
      <alignment horizontal="left" vertical="center"/>
    </xf>
    <xf numFmtId="0" fontId="15" fillId="0" borderId="11" xfId="51" applyFont="1" applyFill="1" applyBorder="1" applyAlignment="1" applyProtection="1">
      <alignment vertical="center" wrapText="1"/>
    </xf>
    <xf numFmtId="0" fontId="30" fillId="29" borderId="0" xfId="61" applyFont="1" applyFill="1" applyAlignment="1" applyProtection="1">
      <alignment vertical="center"/>
    </xf>
    <xf numFmtId="0" fontId="30" fillId="0" borderId="0" xfId="0" applyFont="1" applyProtection="1"/>
    <xf numFmtId="0" fontId="1" fillId="29" borderId="0" xfId="61" applyFont="1" applyFill="1" applyAlignment="1" applyProtection="1">
      <alignment vertical="center"/>
    </xf>
    <xf numFmtId="165" fontId="59" fillId="0" borderId="0" xfId="46" applyNumberFormat="1" applyFont="1" applyAlignment="1" applyProtection="1">
      <alignment horizontal="center" vertical="center"/>
    </xf>
    <xf numFmtId="165" fontId="74" fillId="0" borderId="0" xfId="46" applyNumberFormat="1" applyFont="1" applyAlignment="1" applyProtection="1">
      <alignment horizontal="center" vertical="center"/>
    </xf>
    <xf numFmtId="165" fontId="75" fillId="0" borderId="0" xfId="46" applyNumberFormat="1" applyFont="1" applyAlignment="1" applyProtection="1">
      <alignment horizontal="center" vertical="center"/>
    </xf>
    <xf numFmtId="165" fontId="72" fillId="42" borderId="134" xfId="46" applyNumberFormat="1" applyFont="1" applyFill="1" applyBorder="1" applyAlignment="1" applyProtection="1">
      <alignment horizontal="center" vertical="center" wrapText="1"/>
    </xf>
    <xf numFmtId="0" fontId="30" fillId="0" borderId="0" xfId="61" applyFont="1" applyFill="1" applyAlignment="1" applyProtection="1">
      <alignment vertical="center"/>
    </xf>
    <xf numFmtId="0" fontId="30" fillId="0" borderId="0" xfId="0" applyFont="1" applyFill="1" applyProtection="1"/>
    <xf numFmtId="165" fontId="72" fillId="42" borderId="128" xfId="46" applyNumberFormat="1" applyFont="1" applyFill="1" applyBorder="1" applyAlignment="1" applyProtection="1">
      <alignment horizontal="center" vertical="center" wrapText="1"/>
    </xf>
    <xf numFmtId="165" fontId="15" fillId="0" borderId="0" xfId="46" applyNumberFormat="1" applyFont="1" applyFill="1" applyBorder="1" applyAlignment="1" applyProtection="1">
      <alignment horizontal="center" wrapText="1"/>
    </xf>
    <xf numFmtId="165" fontId="1" fillId="0" borderId="0" xfId="46" applyNumberFormat="1" applyFont="1" applyProtection="1"/>
    <xf numFmtId="165" fontId="15" fillId="0" borderId="0" xfId="46" applyNumberFormat="1" applyFont="1" applyProtection="1"/>
    <xf numFmtId="165" fontId="17" fillId="0" borderId="0" xfId="46" applyNumberFormat="1" applyFont="1" applyProtection="1"/>
    <xf numFmtId="165" fontId="15" fillId="41" borderId="11" xfId="46" applyNumberFormat="1" applyFont="1" applyFill="1" applyBorder="1" applyAlignment="1" applyProtection="1">
      <alignment horizontal="center" vertical="center" wrapText="1"/>
      <protection locked="0"/>
    </xf>
    <xf numFmtId="165" fontId="15" fillId="0" borderId="15" xfId="46" applyNumberFormat="1" applyFont="1" applyFill="1" applyBorder="1" applyAlignment="1" applyProtection="1">
      <alignment horizontal="center" vertical="center" wrapText="1"/>
      <protection locked="0"/>
    </xf>
    <xf numFmtId="0" fontId="0" fillId="41" borderId="11" xfId="0" applyFill="1" applyBorder="1" applyProtection="1">
      <protection locked="0"/>
    </xf>
    <xf numFmtId="165" fontId="1" fillId="41" borderId="73" xfId="46" applyNumberFormat="1" applyFont="1" applyFill="1" applyBorder="1" applyAlignment="1" applyProtection="1">
      <alignment horizontal="right" vertical="center" wrapText="1"/>
      <protection locked="0"/>
    </xf>
    <xf numFmtId="165" fontId="1" fillId="41" borderId="74" xfId="46" applyNumberFormat="1" applyFont="1" applyFill="1" applyBorder="1" applyAlignment="1" applyProtection="1">
      <alignment vertical="top" wrapText="1"/>
      <protection locked="0"/>
    </xf>
    <xf numFmtId="165" fontId="1" fillId="41" borderId="75" xfId="46" applyNumberFormat="1" applyFont="1" applyFill="1" applyBorder="1" applyAlignment="1" applyProtection="1">
      <alignment vertical="top" wrapText="1"/>
      <protection locked="0"/>
    </xf>
    <xf numFmtId="165" fontId="1" fillId="41" borderId="76" xfId="46" applyNumberFormat="1" applyFont="1" applyFill="1" applyBorder="1" applyAlignment="1" applyProtection="1">
      <alignment horizontal="right" vertical="center" wrapText="1"/>
      <protection locked="0"/>
    </xf>
    <xf numFmtId="165" fontId="1" fillId="41" borderId="37" xfId="46" applyNumberFormat="1" applyFont="1" applyFill="1" applyBorder="1" applyAlignment="1" applyProtection="1">
      <alignment horizontal="right" vertical="center" wrapText="1"/>
      <protection locked="0"/>
    </xf>
    <xf numFmtId="165" fontId="1" fillId="41" borderId="40" xfId="46" applyNumberFormat="1" applyFont="1" applyFill="1" applyBorder="1" applyAlignment="1" applyProtection="1">
      <alignment vertical="top" wrapText="1"/>
      <protection locked="0"/>
    </xf>
    <xf numFmtId="3" fontId="1" fillId="25" borderId="11" xfId="46" applyNumberFormat="1" applyFont="1" applyFill="1" applyBorder="1" applyProtection="1">
      <protection locked="0"/>
    </xf>
    <xf numFmtId="174" fontId="1" fillId="41" borderId="11" xfId="46" applyNumberFormat="1" applyFont="1" applyFill="1" applyBorder="1" applyAlignment="1" applyProtection="1">
      <alignment horizontal="left"/>
      <protection locked="0"/>
    </xf>
    <xf numFmtId="165" fontId="1" fillId="41" borderId="50" xfId="46" applyNumberFormat="1" applyFont="1" applyFill="1" applyBorder="1" applyProtection="1">
      <protection locked="0"/>
    </xf>
    <xf numFmtId="165" fontId="0" fillId="41" borderId="11" xfId="46" applyNumberFormat="1" applyFont="1" applyFill="1" applyBorder="1" applyProtection="1">
      <protection locked="0"/>
    </xf>
    <xf numFmtId="165" fontId="1" fillId="29" borderId="15" xfId="46" applyNumberFormat="1" applyFont="1" applyFill="1" applyBorder="1" applyAlignment="1" applyProtection="1">
      <alignment horizontal="center" vertical="center"/>
      <protection locked="0"/>
    </xf>
    <xf numFmtId="165" fontId="59" fillId="0" borderId="15" xfId="46" applyNumberFormat="1" applyFont="1" applyBorder="1" applyAlignment="1" applyProtection="1">
      <alignment horizontal="center" vertical="center"/>
      <protection locked="0"/>
    </xf>
    <xf numFmtId="165" fontId="72" fillId="42" borderId="137" xfId="46" applyNumberFormat="1" applyFont="1" applyFill="1" applyBorder="1" applyAlignment="1" applyProtection="1">
      <alignment horizontal="center" vertical="center" wrapText="1"/>
      <protection locked="0"/>
    </xf>
    <xf numFmtId="165" fontId="72" fillId="0" borderId="14" xfId="46" applyNumberFormat="1" applyFont="1" applyFill="1" applyBorder="1" applyAlignment="1" applyProtection="1">
      <alignment horizontal="center" vertical="center" wrapText="1"/>
      <protection locked="0"/>
    </xf>
    <xf numFmtId="0" fontId="1" fillId="46" borderId="11" xfId="0" applyFont="1" applyFill="1" applyBorder="1" applyProtection="1">
      <protection locked="0"/>
    </xf>
    <xf numFmtId="0" fontId="3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1" fillId="0" borderId="12" xfId="46" applyNumberFormat="1" applyFont="1" applyBorder="1" applyAlignment="1">
      <alignment horizontal="center" vertical="center" wrapText="1"/>
    </xf>
    <xf numFmtId="0" fontId="1" fillId="0" borderId="48" xfId="46" applyNumberFormat="1" applyFont="1" applyBorder="1" applyAlignment="1">
      <alignment horizontal="center" vertical="center" wrapText="1"/>
    </xf>
    <xf numFmtId="0" fontId="3" fillId="0" borderId="12" xfId="46" applyNumberFormat="1" applyFont="1" applyBorder="1" applyAlignment="1">
      <alignment horizontal="center" vertical="center" textRotation="90" wrapText="1"/>
    </xf>
    <xf numFmtId="0" fontId="3" fillId="0" borderId="49" xfId="46" applyNumberFormat="1" applyFont="1" applyBorder="1" applyAlignment="1">
      <alignment horizontal="center" vertical="center" textRotation="90" wrapText="1"/>
    </xf>
    <xf numFmtId="0" fontId="3" fillId="0" borderId="24" xfId="46" applyNumberFormat="1" applyFont="1" applyBorder="1" applyAlignment="1">
      <alignment horizontal="center" vertical="center" textRotation="90" wrapText="1"/>
    </xf>
    <xf numFmtId="49" fontId="10" fillId="0" borderId="0" xfId="46" applyNumberFormat="1" applyFont="1" applyFill="1" applyAlignment="1">
      <alignment horizontal="left"/>
    </xf>
    <xf numFmtId="0" fontId="1" fillId="0" borderId="22" xfId="0" applyFont="1" applyBorder="1" applyAlignment="1" applyProtection="1">
      <alignment horizontal="center"/>
    </xf>
    <xf numFmtId="0" fontId="1" fillId="0" borderId="18" xfId="0" applyFont="1" applyBorder="1" applyAlignment="1" applyProtection="1">
      <alignment horizontal="center"/>
    </xf>
    <xf numFmtId="0" fontId="1" fillId="0" borderId="15" xfId="0" applyFont="1" applyBorder="1" applyAlignment="1" applyProtection="1">
      <alignment horizontal="center"/>
    </xf>
    <xf numFmtId="0" fontId="1" fillId="0" borderId="11" xfId="0" applyFont="1" applyBorder="1" applyAlignment="1" applyProtection="1">
      <alignment horizontal="center"/>
    </xf>
    <xf numFmtId="0" fontId="1" fillId="0" borderId="22" xfId="0" applyFont="1" applyBorder="1" applyAlignment="1" applyProtection="1">
      <alignment horizontal="center" wrapText="1"/>
    </xf>
    <xf numFmtId="0" fontId="1" fillId="0" borderId="15" xfId="0" applyFont="1" applyBorder="1" applyAlignment="1" applyProtection="1">
      <alignment horizontal="center" wrapText="1"/>
    </xf>
    <xf numFmtId="0" fontId="1" fillId="0" borderId="18" xfId="0" applyFont="1" applyBorder="1" applyAlignment="1" applyProtection="1">
      <alignment horizontal="center" wrapText="1"/>
    </xf>
    <xf numFmtId="0" fontId="15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 applyProtection="1">
      <alignment horizontal="center"/>
    </xf>
    <xf numFmtId="0" fontId="1" fillId="0" borderId="23" xfId="0" applyFont="1" applyBorder="1" applyAlignment="1" applyProtection="1">
      <alignment horizontal="center"/>
    </xf>
    <xf numFmtId="0" fontId="1" fillId="0" borderId="16" xfId="0" applyFont="1" applyBorder="1" applyAlignment="1" applyProtection="1">
      <alignment horizontal="center"/>
    </xf>
    <xf numFmtId="0" fontId="15" fillId="0" borderId="12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left" vertical="center"/>
    </xf>
    <xf numFmtId="0" fontId="10" fillId="0" borderId="0" xfId="0" applyFont="1" applyFill="1" applyBorder="1" applyAlignment="1">
      <alignment wrapText="1"/>
    </xf>
    <xf numFmtId="0" fontId="10" fillId="0" borderId="0" xfId="0" applyFont="1" applyAlignment="1"/>
    <xf numFmtId="165" fontId="3" fillId="0" borderId="23" xfId="46" applyNumberFormat="1" applyFont="1" applyBorder="1" applyAlignment="1">
      <alignment vertical="top" wrapText="1"/>
    </xf>
    <xf numFmtId="0" fontId="1" fillId="0" borderId="0" xfId="0" applyFont="1" applyAlignment="1"/>
    <xf numFmtId="0" fontId="10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 horizontal="left" vertical="center" wrapText="1"/>
    </xf>
    <xf numFmtId="49" fontId="10" fillId="0" borderId="156" xfId="61" applyNumberFormat="1" applyFont="1" applyFill="1" applyBorder="1" applyAlignment="1" applyProtection="1">
      <alignment vertical="center" wrapText="1"/>
    </xf>
    <xf numFmtId="0" fontId="72" fillId="42" borderId="19" xfId="47" applyNumberFormat="1" applyFont="1" applyFill="1" applyBorder="1" applyAlignment="1" applyProtection="1">
      <alignment horizontal="left" vertical="center" wrapText="1"/>
    </xf>
    <xf numFmtId="0" fontId="72" fillId="42" borderId="23" xfId="47" applyNumberFormat="1" applyFont="1" applyFill="1" applyBorder="1" applyAlignment="1" applyProtection="1">
      <alignment horizontal="left" vertical="center" wrapText="1"/>
    </xf>
    <xf numFmtId="0" fontId="72" fillId="42" borderId="147" xfId="47" applyNumberFormat="1" applyFont="1" applyFill="1" applyBorder="1" applyAlignment="1" applyProtection="1">
      <alignment horizontal="left" vertical="center" wrapText="1"/>
    </xf>
    <xf numFmtId="0" fontId="72" fillId="42" borderId="148" xfId="47" applyNumberFormat="1" applyFont="1" applyFill="1" applyBorder="1" applyAlignment="1" applyProtection="1">
      <alignment horizontal="left" vertical="center" wrapText="1"/>
    </xf>
    <xf numFmtId="0" fontId="72" fillId="42" borderId="149" xfId="47" applyNumberFormat="1" applyFont="1" applyFill="1" applyBorder="1" applyAlignment="1" applyProtection="1">
      <alignment horizontal="left" vertical="center" wrapText="1"/>
    </xf>
    <xf numFmtId="0" fontId="72" fillId="42" borderId="150" xfId="47" applyNumberFormat="1" applyFont="1" applyFill="1" applyBorder="1" applyAlignment="1" applyProtection="1">
      <alignment horizontal="left" vertical="center" wrapText="1"/>
    </xf>
    <xf numFmtId="165" fontId="15" fillId="0" borderId="12" xfId="46" applyNumberFormat="1" applyFont="1" applyFill="1" applyBorder="1" applyAlignment="1" applyProtection="1">
      <alignment horizontal="center" vertical="center" wrapText="1"/>
    </xf>
    <xf numFmtId="165" fontId="15" fillId="0" borderId="49" xfId="46" applyNumberFormat="1" applyFont="1" applyFill="1" applyBorder="1" applyAlignment="1" applyProtection="1">
      <alignment horizontal="center" vertical="center" wrapText="1"/>
    </xf>
    <xf numFmtId="165" fontId="15" fillId="0" borderId="24" xfId="46" applyNumberFormat="1" applyFont="1" applyFill="1" applyBorder="1" applyAlignment="1" applyProtection="1">
      <alignment horizontal="center" vertical="center" wrapText="1"/>
    </xf>
    <xf numFmtId="165" fontId="15" fillId="41" borderId="12" xfId="46" applyNumberFormat="1" applyFont="1" applyFill="1" applyBorder="1" applyAlignment="1" applyProtection="1">
      <alignment horizontal="center" vertical="center" wrapText="1"/>
      <protection locked="0"/>
    </xf>
    <xf numFmtId="165" fontId="15" fillId="41" borderId="49" xfId="46" applyNumberFormat="1" applyFont="1" applyFill="1" applyBorder="1" applyAlignment="1" applyProtection="1">
      <alignment horizontal="center" vertical="center" wrapText="1"/>
      <protection locked="0"/>
    </xf>
    <xf numFmtId="165" fontId="15" fillId="41" borderId="24" xfId="46" applyNumberFormat="1" applyFont="1" applyFill="1" applyBorder="1" applyAlignment="1" applyProtection="1">
      <alignment horizontal="center" vertical="center" wrapText="1"/>
      <protection locked="0"/>
    </xf>
    <xf numFmtId="0" fontId="65" fillId="42" borderId="0" xfId="47" applyNumberFormat="1" applyFont="1" applyFill="1" applyBorder="1" applyAlignment="1" applyProtection="1">
      <alignment horizontal="left" vertical="center" wrapText="1"/>
    </xf>
    <xf numFmtId="165" fontId="74" fillId="0" borderId="11" xfId="46" applyNumberFormat="1" applyFont="1" applyBorder="1" applyAlignment="1" applyProtection="1">
      <alignment horizontal="center" vertical="center"/>
    </xf>
    <xf numFmtId="165" fontId="1" fillId="41" borderId="11" xfId="46" applyNumberFormat="1" applyFont="1" applyFill="1" applyBorder="1" applyAlignment="1" applyProtection="1">
      <alignment horizontal="center" vertical="center"/>
      <protection locked="0"/>
    </xf>
    <xf numFmtId="0" fontId="15" fillId="0" borderId="12" xfId="0" applyFont="1" applyFill="1" applyBorder="1" applyAlignment="1" applyProtection="1">
      <alignment horizontal="left" vertical="center"/>
    </xf>
    <xf numFmtId="0" fontId="15" fillId="0" borderId="49" xfId="0" applyFont="1" applyFill="1" applyBorder="1" applyAlignment="1" applyProtection="1">
      <alignment horizontal="left" vertical="center"/>
    </xf>
    <xf numFmtId="0" fontId="15" fillId="0" borderId="24" xfId="0" applyFont="1" applyFill="1" applyBorder="1" applyAlignment="1" applyProtection="1">
      <alignment horizontal="left" vertical="center"/>
    </xf>
    <xf numFmtId="0" fontId="15" fillId="40" borderId="11" xfId="0" applyFont="1" applyFill="1" applyBorder="1" applyAlignment="1" applyProtection="1">
      <alignment horizontal="center" vertical="center"/>
    </xf>
    <xf numFmtId="165" fontId="17" fillId="0" borderId="111" xfId="46" applyNumberFormat="1" applyFont="1" applyFill="1" applyBorder="1" applyAlignment="1" applyProtection="1">
      <alignment horizontal="center" vertical="center" wrapText="1"/>
    </xf>
    <xf numFmtId="165" fontId="17" fillId="0" borderId="112" xfId="46" applyNumberFormat="1" applyFont="1" applyFill="1" applyBorder="1" applyAlignment="1" applyProtection="1">
      <alignment horizontal="center" vertical="center" wrapText="1"/>
    </xf>
    <xf numFmtId="165" fontId="17" fillId="0" borderId="39" xfId="46" applyNumberFormat="1" applyFont="1" applyFill="1" applyBorder="1" applyAlignment="1" applyProtection="1">
      <alignment horizontal="center" vertical="center" wrapText="1"/>
    </xf>
    <xf numFmtId="165" fontId="17" fillId="0" borderId="113" xfId="46" applyNumberFormat="1" applyFont="1" applyFill="1" applyBorder="1" applyAlignment="1" applyProtection="1">
      <alignment horizontal="center" vertical="center" wrapText="1"/>
    </xf>
    <xf numFmtId="165" fontId="17" fillId="0" borderId="114" xfId="46" applyNumberFormat="1" applyFont="1" applyFill="1" applyBorder="1" applyAlignment="1" applyProtection="1">
      <alignment horizontal="center" vertical="center" wrapText="1"/>
    </xf>
    <xf numFmtId="165" fontId="17" fillId="0" borderId="115" xfId="46" applyNumberFormat="1" applyFont="1" applyFill="1" applyBorder="1" applyAlignment="1" applyProtection="1">
      <alignment horizontal="center" vertical="center" wrapText="1"/>
    </xf>
    <xf numFmtId="4" fontId="17" fillId="0" borderId="12" xfId="61" applyNumberFormat="1" applyFont="1" applyFill="1" applyBorder="1" applyAlignment="1" applyProtection="1">
      <alignment horizontal="center" vertical="center" wrapText="1"/>
    </xf>
    <xf numFmtId="4" fontId="17" fillId="0" borderId="49" xfId="61" applyNumberFormat="1" applyFont="1" applyFill="1" applyBorder="1" applyAlignment="1" applyProtection="1">
      <alignment horizontal="center" vertical="center" wrapText="1"/>
    </xf>
    <xf numFmtId="4" fontId="17" fillId="0" borderId="24" xfId="61" applyNumberFormat="1" applyFont="1" applyFill="1" applyBorder="1" applyAlignment="1" applyProtection="1">
      <alignment horizontal="center" vertical="center" wrapText="1"/>
    </xf>
    <xf numFmtId="165" fontId="75" fillId="0" borderId="10" xfId="46" applyNumberFormat="1" applyFont="1" applyBorder="1" applyAlignment="1" applyProtection="1">
      <alignment horizontal="center" vertical="center"/>
    </xf>
    <xf numFmtId="165" fontId="74" fillId="0" borderId="22" xfId="46" applyNumberFormat="1" applyFont="1" applyBorder="1" applyAlignment="1" applyProtection="1">
      <alignment horizontal="center" vertical="center"/>
    </xf>
    <xf numFmtId="0" fontId="31" fillId="0" borderId="11" xfId="0" applyFont="1" applyFill="1" applyBorder="1" applyAlignment="1" applyProtection="1">
      <alignment horizontal="left" vertical="center" wrapText="1" shrinkToFit="1"/>
    </xf>
    <xf numFmtId="2" fontId="17" fillId="0" borderId="11" xfId="0" applyNumberFormat="1" applyFont="1" applyFill="1" applyBorder="1" applyAlignment="1" applyProtection="1">
      <alignment horizontal="center" vertical="center" wrapText="1"/>
    </xf>
    <xf numFmtId="0" fontId="15" fillId="0" borderId="11" xfId="0" applyFont="1" applyFill="1" applyBorder="1" applyAlignment="1" applyProtection="1">
      <alignment horizontal="left" vertical="center" wrapText="1"/>
    </xf>
    <xf numFmtId="0" fontId="15" fillId="0" borderId="12" xfId="0" applyFont="1" applyFill="1" applyBorder="1" applyAlignment="1" applyProtection="1">
      <alignment horizontal="left" vertical="center" wrapText="1"/>
    </xf>
    <xf numFmtId="0" fontId="15" fillId="0" borderId="49" xfId="0" applyFont="1" applyFill="1" applyBorder="1" applyAlignment="1" applyProtection="1">
      <alignment horizontal="left" vertical="center" wrapText="1"/>
    </xf>
    <xf numFmtId="0" fontId="15" fillId="0" borderId="24" xfId="0" applyFont="1" applyFill="1" applyBorder="1" applyAlignment="1" applyProtection="1">
      <alignment horizontal="left" vertical="center" wrapText="1"/>
    </xf>
    <xf numFmtId="165" fontId="15" fillId="50" borderId="11" xfId="46" applyNumberFormat="1" applyFont="1" applyFill="1" applyBorder="1" applyAlignment="1" applyProtection="1">
      <alignment horizontal="center" vertical="center"/>
      <protection locked="0"/>
    </xf>
    <xf numFmtId="0" fontId="1" fillId="29" borderId="0" xfId="57" applyFont="1" applyFill="1" applyAlignment="1" applyProtection="1">
      <alignment horizontal="left" vertical="top" wrapText="1"/>
    </xf>
    <xf numFmtId="0" fontId="72" fillId="42" borderId="22" xfId="47" applyNumberFormat="1" applyFont="1" applyFill="1" applyBorder="1" applyAlignment="1" applyProtection="1">
      <alignment horizontal="left" vertical="center" wrapText="1"/>
    </xf>
    <xf numFmtId="0" fontId="72" fillId="42" borderId="15" xfId="47" applyNumberFormat="1" applyFont="1" applyFill="1" applyBorder="1" applyAlignment="1" applyProtection="1">
      <alignment horizontal="left" vertical="center" wrapText="1"/>
    </xf>
    <xf numFmtId="0" fontId="72" fillId="42" borderId="134" xfId="47" applyNumberFormat="1" applyFont="1" applyFill="1" applyBorder="1" applyAlignment="1" applyProtection="1">
      <alignment horizontal="left" vertical="center" wrapText="1"/>
    </xf>
    <xf numFmtId="165" fontId="75" fillId="0" borderId="33" xfId="46" applyNumberFormat="1" applyFont="1" applyBorder="1" applyAlignment="1" applyProtection="1">
      <alignment horizontal="center" vertical="center"/>
    </xf>
    <xf numFmtId="0" fontId="31" fillId="0" borderId="12" xfId="0" applyFont="1" applyFill="1" applyBorder="1" applyAlignment="1" applyProtection="1">
      <alignment horizontal="left" vertical="center" wrapText="1" shrinkToFit="1"/>
    </xf>
    <xf numFmtId="0" fontId="31" fillId="0" borderId="49" xfId="0" applyFont="1" applyFill="1" applyBorder="1" applyAlignment="1" applyProtection="1">
      <alignment horizontal="left" vertical="center" wrapText="1" shrinkToFit="1"/>
    </xf>
    <xf numFmtId="0" fontId="31" fillId="0" borderId="24" xfId="0" applyFont="1" applyFill="1" applyBorder="1" applyAlignment="1" applyProtection="1">
      <alignment horizontal="left" vertical="center" wrapText="1" shrinkToFit="1"/>
    </xf>
    <xf numFmtId="2" fontId="17" fillId="0" borderId="12" xfId="0" applyNumberFormat="1" applyFont="1" applyFill="1" applyBorder="1" applyAlignment="1" applyProtection="1">
      <alignment horizontal="center" vertical="center" wrapText="1"/>
    </xf>
    <xf numFmtId="2" fontId="17" fillId="0" borderId="49" xfId="0" applyNumberFormat="1" applyFont="1" applyFill="1" applyBorder="1" applyAlignment="1" applyProtection="1">
      <alignment horizontal="center" vertical="center" wrapText="1"/>
    </xf>
    <xf numFmtId="2" fontId="17" fillId="0" borderId="24" xfId="0" applyNumberFormat="1" applyFont="1" applyFill="1" applyBorder="1" applyAlignment="1" applyProtection="1">
      <alignment horizontal="center" vertical="center" wrapText="1"/>
    </xf>
    <xf numFmtId="165" fontId="65" fillId="42" borderId="133" xfId="46" applyNumberFormat="1" applyFont="1" applyFill="1" applyBorder="1" applyAlignment="1" applyProtection="1">
      <alignment horizontal="center" vertical="center" wrapText="1"/>
    </xf>
    <xf numFmtId="165" fontId="65" fillId="42" borderId="144" xfId="46" applyNumberFormat="1" applyFont="1" applyFill="1" applyBorder="1" applyAlignment="1" applyProtection="1">
      <alignment horizontal="center" vertical="center" wrapText="1"/>
    </xf>
    <xf numFmtId="165" fontId="75" fillId="0" borderId="38" xfId="46" applyNumberFormat="1" applyFont="1" applyBorder="1" applyAlignment="1" applyProtection="1">
      <alignment horizontal="center" vertical="center"/>
    </xf>
    <xf numFmtId="165" fontId="75" fillId="0" borderId="110" xfId="46" applyNumberFormat="1" applyFont="1" applyBorder="1" applyAlignment="1" applyProtection="1">
      <alignment horizontal="center" vertical="center"/>
    </xf>
    <xf numFmtId="0" fontId="65" fillId="42" borderId="145" xfId="47" applyNumberFormat="1" applyFont="1" applyFill="1" applyBorder="1" applyAlignment="1" applyProtection="1">
      <alignment horizontal="left" vertical="center" wrapText="1"/>
    </xf>
    <xf numFmtId="0" fontId="65" fillId="42" borderId="146" xfId="47" applyNumberFormat="1" applyFont="1" applyFill="1" applyBorder="1" applyAlignment="1" applyProtection="1">
      <alignment horizontal="left" vertical="center" wrapText="1"/>
    </xf>
    <xf numFmtId="0" fontId="65" fillId="42" borderId="142" xfId="47" applyNumberFormat="1" applyFont="1" applyFill="1" applyBorder="1" applyAlignment="1" applyProtection="1">
      <alignment horizontal="left" vertical="center" wrapText="1"/>
    </xf>
    <xf numFmtId="0" fontId="17" fillId="0" borderId="22" xfId="61" applyFont="1" applyFill="1" applyBorder="1" applyAlignment="1" applyProtection="1">
      <alignment horizontal="left" vertical="center" wrapText="1"/>
    </xf>
    <xf numFmtId="0" fontId="15" fillId="0" borderId="18" xfId="61" applyFont="1" applyBorder="1" applyAlignment="1" applyProtection="1">
      <alignment horizontal="left" vertical="center"/>
    </xf>
    <xf numFmtId="0" fontId="17" fillId="29" borderId="22" xfId="61" applyFont="1" applyFill="1" applyBorder="1" applyAlignment="1" applyProtection="1">
      <alignment horizontal="left" vertical="center"/>
    </xf>
    <xf numFmtId="0" fontId="17" fillId="0" borderId="15" xfId="61" applyFont="1" applyBorder="1" applyAlignment="1" applyProtection="1">
      <alignment horizontal="left" vertical="center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49" xfId="0" applyFont="1" applyFill="1" applyBorder="1" applyAlignment="1" applyProtection="1">
      <alignment horizontal="left" vertical="center" wrapText="1"/>
    </xf>
    <xf numFmtId="0" fontId="31" fillId="0" borderId="24" xfId="0" applyFont="1" applyFill="1" applyBorder="1" applyAlignment="1" applyProtection="1">
      <alignment horizontal="left" vertical="center" wrapText="1"/>
    </xf>
    <xf numFmtId="0" fontId="10" fillId="0" borderId="0" xfId="61" applyFont="1" applyFill="1" applyBorder="1" applyAlignment="1" applyProtection="1">
      <alignment horizontal="left" vertical="top" wrapText="1"/>
    </xf>
    <xf numFmtId="165" fontId="65" fillId="42" borderId="143" xfId="46" applyNumberFormat="1" applyFont="1" applyFill="1" applyBorder="1" applyAlignment="1" applyProtection="1">
      <alignment horizontal="center" vertical="center" wrapText="1"/>
    </xf>
    <xf numFmtId="0" fontId="31" fillId="0" borderId="11" xfId="0" applyFont="1" applyFill="1" applyBorder="1" applyAlignment="1" applyProtection="1">
      <alignment horizontal="left" vertical="center" wrapText="1"/>
    </xf>
    <xf numFmtId="0" fontId="17" fillId="0" borderId="11" xfId="0" applyFont="1" applyFill="1" applyBorder="1" applyAlignment="1" applyProtection="1">
      <alignment horizontal="left" vertical="center" wrapText="1"/>
    </xf>
    <xf numFmtId="0" fontId="65" fillId="42" borderId="133" xfId="46" applyNumberFormat="1" applyFont="1" applyFill="1" applyBorder="1" applyAlignment="1">
      <alignment horizontal="center" vertical="center" wrapText="1"/>
    </xf>
    <xf numFmtId="0" fontId="65" fillId="42" borderId="144" xfId="46" applyNumberFormat="1" applyFont="1" applyFill="1" applyBorder="1" applyAlignment="1">
      <alignment horizontal="center" vertical="center" wrapText="1"/>
    </xf>
    <xf numFmtId="0" fontId="17" fillId="40" borderId="11" xfId="0" applyFont="1" applyFill="1" applyBorder="1" applyAlignment="1">
      <alignment horizontal="center" vertical="center" wrapText="1"/>
    </xf>
    <xf numFmtId="0" fontId="17" fillId="40" borderId="12" xfId="0" applyFont="1" applyFill="1" applyBorder="1" applyAlignment="1">
      <alignment horizontal="center" vertical="center" wrapText="1"/>
    </xf>
    <xf numFmtId="0" fontId="17" fillId="0" borderId="145" xfId="0" applyFont="1" applyFill="1" applyBorder="1" applyAlignment="1">
      <alignment horizontal="left" vertical="center"/>
    </xf>
    <xf numFmtId="0" fontId="17" fillId="0" borderId="142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top" wrapText="1"/>
    </xf>
    <xf numFmtId="0" fontId="72" fillId="42" borderId="22" xfId="46" applyNumberFormat="1" applyFont="1" applyFill="1" applyBorder="1" applyAlignment="1">
      <alignment horizontal="left" vertical="center" wrapText="1"/>
    </xf>
    <xf numFmtId="0" fontId="72" fillId="42" borderId="15" xfId="46" applyNumberFormat="1" applyFont="1" applyFill="1" applyBorder="1" applyAlignment="1">
      <alignment horizontal="left" vertical="center" wrapText="1"/>
    </xf>
    <xf numFmtId="49" fontId="10" fillId="0" borderId="14" xfId="0" applyNumberFormat="1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65" fillId="42" borderId="32" xfId="0" applyFont="1" applyFill="1" applyBorder="1" applyAlignment="1">
      <alignment horizontal="left" vertical="center"/>
    </xf>
    <xf numFmtId="0" fontId="65" fillId="42" borderId="15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3" fontId="10" fillId="0" borderId="14" xfId="0" applyNumberFormat="1" applyFont="1" applyBorder="1" applyAlignment="1">
      <alignment horizontal="left" vertical="center"/>
    </xf>
    <xf numFmtId="0" fontId="3" fillId="0" borderId="2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" fillId="0" borderId="120" xfId="0" applyFont="1" applyBorder="1" applyAlignment="1">
      <alignment horizontal="left" vertical="center" wrapText="1"/>
    </xf>
    <xf numFmtId="165" fontId="1" fillId="41" borderId="77" xfId="46" applyNumberFormat="1" applyFont="1" applyFill="1" applyBorder="1" applyAlignment="1" applyProtection="1">
      <alignment horizontal="right" vertical="center" wrapText="1"/>
      <protection locked="0"/>
    </xf>
    <xf numFmtId="165" fontId="1" fillId="41" borderId="119" xfId="46" applyNumberFormat="1" applyFont="1" applyFill="1" applyBorder="1" applyAlignment="1" applyProtection="1">
      <alignment horizontal="right" vertical="center" wrapText="1"/>
      <protection locked="0"/>
    </xf>
    <xf numFmtId="0" fontId="1" fillId="0" borderId="117" xfId="0" applyFont="1" applyBorder="1" applyAlignment="1">
      <alignment vertical="center" wrapText="1"/>
    </xf>
    <xf numFmtId="0" fontId="1" fillId="0" borderId="118" xfId="0" applyFont="1" applyFill="1" applyBorder="1" applyAlignment="1">
      <alignment vertical="center" wrapText="1"/>
    </xf>
    <xf numFmtId="3" fontId="1" fillId="0" borderId="73" xfId="0" applyNumberFormat="1" applyFont="1" applyFill="1" applyBorder="1" applyAlignment="1">
      <alignment horizontal="right" vertical="center"/>
    </xf>
    <xf numFmtId="3" fontId="1" fillId="0" borderId="74" xfId="0" applyNumberFormat="1" applyFont="1" applyFill="1" applyBorder="1" applyAlignment="1">
      <alignment horizontal="right" vertical="center"/>
    </xf>
    <xf numFmtId="3" fontId="1" fillId="0" borderId="76" xfId="0" applyNumberFormat="1" applyFont="1" applyFill="1" applyBorder="1" applyAlignment="1">
      <alignment horizontal="right" vertical="center"/>
    </xf>
    <xf numFmtId="3" fontId="1" fillId="45" borderId="80" xfId="0" applyNumberFormat="1" applyFont="1" applyFill="1" applyBorder="1" applyAlignment="1">
      <alignment horizontal="right" vertical="center"/>
    </xf>
    <xf numFmtId="3" fontId="1" fillId="45" borderId="78" xfId="0" applyNumberFormat="1" applyFont="1" applyFill="1" applyBorder="1" applyAlignment="1">
      <alignment horizontal="right" vertical="center"/>
    </xf>
    <xf numFmtId="3" fontId="1" fillId="45" borderId="87" xfId="0" applyNumberFormat="1" applyFont="1" applyFill="1" applyBorder="1" applyAlignment="1">
      <alignment horizontal="right" vertical="center"/>
    </xf>
    <xf numFmtId="3" fontId="1" fillId="45" borderId="80" xfId="0" applyNumberFormat="1" applyFont="1" applyFill="1" applyBorder="1" applyAlignment="1">
      <alignment vertical="center"/>
    </xf>
    <xf numFmtId="3" fontId="1" fillId="45" borderId="78" xfId="0" applyNumberFormat="1" applyFont="1" applyFill="1" applyBorder="1" applyAlignment="1">
      <alignment vertical="center"/>
    </xf>
    <xf numFmtId="3" fontId="1" fillId="45" borderId="87" xfId="0" applyNumberFormat="1" applyFont="1" applyFill="1" applyBorder="1" applyAlignment="1">
      <alignment vertical="center"/>
    </xf>
    <xf numFmtId="165" fontId="3" fillId="45" borderId="15" xfId="0" applyNumberFormat="1" applyFont="1" applyFill="1" applyBorder="1" applyAlignment="1">
      <alignment horizontal="center" vertical="center" wrapText="1"/>
    </xf>
    <xf numFmtId="165" fontId="3" fillId="45" borderId="18" xfId="0" applyNumberFormat="1" applyFont="1" applyFill="1" applyBorder="1" applyAlignment="1">
      <alignment horizontal="center" vertical="center" wrapText="1"/>
    </xf>
    <xf numFmtId="165" fontId="1" fillId="45" borderId="15" xfId="0" applyNumberFormat="1" applyFont="1" applyFill="1" applyBorder="1" applyAlignment="1">
      <alignment horizontal="left" vertical="center"/>
    </xf>
    <xf numFmtId="165" fontId="1" fillId="45" borderId="18" xfId="0" applyNumberFormat="1" applyFont="1" applyFill="1" applyBorder="1" applyAlignment="1">
      <alignment horizontal="left" vertical="center"/>
    </xf>
    <xf numFmtId="165" fontId="3" fillId="0" borderId="15" xfId="0" applyNumberFormat="1" applyFont="1" applyFill="1" applyBorder="1" applyAlignment="1">
      <alignment horizontal="left" vertical="center" wrapText="1"/>
    </xf>
    <xf numFmtId="165" fontId="3" fillId="0" borderId="18" xfId="0" applyNumberFormat="1" applyFont="1" applyFill="1" applyBorder="1" applyAlignment="1">
      <alignment horizontal="left" vertical="center" wrapText="1"/>
    </xf>
    <xf numFmtId="165" fontId="3" fillId="45" borderId="15" xfId="0" applyNumberFormat="1" applyFont="1" applyFill="1" applyBorder="1" applyAlignment="1">
      <alignment horizontal="left" vertical="center" wrapText="1"/>
    </xf>
    <xf numFmtId="165" fontId="3" fillId="45" borderId="18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116" xfId="0" applyFont="1" applyFill="1" applyBorder="1" applyAlignment="1">
      <alignment horizontal="left" vertical="top" wrapText="1"/>
    </xf>
    <xf numFmtId="0" fontId="1" fillId="0" borderId="86" xfId="0" applyFont="1" applyFill="1" applyBorder="1" applyAlignment="1">
      <alignment horizontal="left" vertical="top" wrapText="1"/>
    </xf>
    <xf numFmtId="0" fontId="64" fillId="42" borderId="20" xfId="0" applyFont="1" applyFill="1" applyBorder="1" applyAlignment="1">
      <alignment horizontal="center"/>
    </xf>
    <xf numFmtId="0" fontId="64" fillId="42" borderId="0" xfId="0" applyFont="1" applyFill="1" applyBorder="1" applyAlignment="1">
      <alignment horizontal="center"/>
    </xf>
    <xf numFmtId="165" fontId="1" fillId="45" borderId="23" xfId="0" applyNumberFormat="1" applyFont="1" applyFill="1" applyBorder="1" applyAlignment="1">
      <alignment horizontal="left" vertical="center"/>
    </xf>
    <xf numFmtId="165" fontId="1" fillId="45" borderId="16" xfId="0" applyNumberFormat="1" applyFont="1" applyFill="1" applyBorder="1" applyAlignment="1">
      <alignment horizontal="left" vertical="center"/>
    </xf>
    <xf numFmtId="3" fontId="10" fillId="0" borderId="0" xfId="0" applyNumberFormat="1" applyFont="1" applyAlignment="1">
      <alignment horizontal="left" vertical="center"/>
    </xf>
    <xf numFmtId="165" fontId="3" fillId="0" borderId="14" xfId="0" applyNumberFormat="1" applyFont="1" applyFill="1" applyBorder="1" applyAlignment="1">
      <alignment horizontal="left" vertical="center" wrapText="1"/>
    </xf>
    <xf numFmtId="165" fontId="3" fillId="0" borderId="17" xfId="0" applyNumberFormat="1" applyFont="1" applyFill="1" applyBorder="1" applyAlignment="1">
      <alignment horizontal="left" vertical="center" wrapText="1"/>
    </xf>
    <xf numFmtId="0" fontId="1" fillId="0" borderId="121" xfId="46" applyNumberFormat="1" applyBorder="1" applyAlignment="1">
      <alignment horizontal="center" vertical="center"/>
    </xf>
    <xf numFmtId="0" fontId="1" fillId="0" borderId="122" xfId="46" applyNumberForma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left"/>
    </xf>
    <xf numFmtId="0" fontId="15" fillId="0" borderId="18" xfId="0" applyFont="1" applyBorder="1" applyAlignment="1">
      <alignment horizontal="left"/>
    </xf>
    <xf numFmtId="0" fontId="1" fillId="0" borderId="12" xfId="46" applyNumberFormat="1" applyBorder="1" applyAlignment="1">
      <alignment horizontal="center" vertical="center" wrapText="1"/>
    </xf>
    <xf numFmtId="0" fontId="1" fillId="0" borderId="24" xfId="46" applyNumberFormat="1" applyBorder="1" applyAlignment="1">
      <alignment horizontal="center" vertical="center" wrapText="1"/>
    </xf>
  </cellXfs>
  <cellStyles count="76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Akzent1 2" xfId="25"/>
    <cellStyle name="Akzent2 2" xfId="26"/>
    <cellStyle name="Akzent3 2" xfId="27"/>
    <cellStyle name="Akzent4 2" xfId="28"/>
    <cellStyle name="Akzent5 2" xfId="29"/>
    <cellStyle name="Akzent6 2" xfId="30"/>
    <cellStyle name="Ausgabe 2" xfId="31"/>
    <cellStyle name="Avertissement" xfId="32"/>
    <cellStyle name="Berechnung 2" xfId="33"/>
    <cellStyle name="Cellule liée" xfId="34"/>
    <cellStyle name="Commentaire" xfId="35"/>
    <cellStyle name="Commentaire 2" xfId="36"/>
    <cellStyle name="Eingabe 2" xfId="37"/>
    <cellStyle name="Ergebnis 2" xfId="38"/>
    <cellStyle name="Erklärender Text 2" xfId="39"/>
    <cellStyle name="Euro" xfId="40"/>
    <cellStyle name="Euro 2" xfId="41"/>
    <cellStyle name="Euro 2 2" xfId="42"/>
    <cellStyle name="Gut 2" xfId="43"/>
    <cellStyle name="Hyperlink" xfId="44" builtinId="8"/>
    <cellStyle name="Insatisfaisant" xfId="45"/>
    <cellStyle name="Komma" xfId="46" builtinId="3"/>
    <cellStyle name="Komma 2" xfId="47"/>
    <cellStyle name="Komma 3" xfId="48"/>
    <cellStyle name="Komma 4" xfId="49"/>
    <cellStyle name="Neutral 2" xfId="50"/>
    <cellStyle name="Normal 2" xfId="51"/>
    <cellStyle name="Notiz 2" xfId="52"/>
    <cellStyle name="Notiz 2 2" xfId="53"/>
    <cellStyle name="Prozent" xfId="54" builtinId="5"/>
    <cellStyle name="Prozent 2" xfId="55"/>
    <cellStyle name="Schlecht 2" xfId="56"/>
    <cellStyle name="Standard" xfId="0" builtinId="0"/>
    <cellStyle name="Standard 2" xfId="57"/>
    <cellStyle name="Standard 2 2" xfId="58"/>
    <cellStyle name="Standard 2 3" xfId="59"/>
    <cellStyle name="Standard 3" xfId="60"/>
    <cellStyle name="Standard 4" xfId="61"/>
    <cellStyle name="Titre" xfId="62"/>
    <cellStyle name="Titre 1" xfId="63"/>
    <cellStyle name="Titre 2" xfId="64"/>
    <cellStyle name="Titre 3" xfId="65"/>
    <cellStyle name="Titre 4" xfId="66"/>
    <cellStyle name="Überschrift 1 2" xfId="67"/>
    <cellStyle name="Überschrift 2 2" xfId="68"/>
    <cellStyle name="Überschrift 3 2" xfId="69"/>
    <cellStyle name="Überschrift 4 2" xfId="70"/>
    <cellStyle name="Überschrift 5" xfId="71"/>
    <cellStyle name="Vérification" xfId="72"/>
    <cellStyle name="Verknüpfte Zelle 2" xfId="73"/>
    <cellStyle name="Warnender Text 2" xfId="74"/>
    <cellStyle name="Zelle überprüfen 2" xfId="75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 /><Relationship Id="rId13" Type="http://schemas.openxmlformats.org/officeDocument/2006/relationships/worksheet" Target="worksheets/sheet13.xml" /><Relationship Id="rId3" Type="http://schemas.openxmlformats.org/officeDocument/2006/relationships/worksheet" Target="worksheets/sheet3.xml" /><Relationship Id="rId7" Type="http://schemas.openxmlformats.org/officeDocument/2006/relationships/worksheet" Target="worksheets/sheet7.xml" /><Relationship Id="rId12" Type="http://schemas.openxmlformats.org/officeDocument/2006/relationships/worksheet" Target="worksheets/sheet12.xml" /><Relationship Id="rId17" Type="http://schemas.openxmlformats.org/officeDocument/2006/relationships/sharedStrings" Target="sharedStrings.xml" /><Relationship Id="rId2" Type="http://schemas.openxmlformats.org/officeDocument/2006/relationships/worksheet" Target="worksheets/sheet2.xml" /><Relationship Id="rId16" Type="http://schemas.openxmlformats.org/officeDocument/2006/relationships/styles" Target="styles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worksheet" Target="worksheets/sheet11.xml" /><Relationship Id="rId5" Type="http://schemas.openxmlformats.org/officeDocument/2006/relationships/worksheet" Target="worksheets/sheet5.xml" /><Relationship Id="rId15" Type="http://schemas.openxmlformats.org/officeDocument/2006/relationships/theme" Target="theme/theme1.xml" /><Relationship Id="rId10" Type="http://schemas.openxmlformats.org/officeDocument/2006/relationships/worksheet" Target="worksheets/sheet10.xml" /><Relationship Id="rId4" Type="http://schemas.openxmlformats.org/officeDocument/2006/relationships/worksheet" Target="worksheets/sheet4.xml" /><Relationship Id="rId9" Type="http://schemas.openxmlformats.org/officeDocument/2006/relationships/worksheet" Target="worksheets/sheet9.xml" /><Relationship Id="rId14" Type="http://schemas.openxmlformats.org/officeDocument/2006/relationships/worksheet" Target="worksheets/sheet14.xml" 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7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7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47625</xdr:rowOff>
    </xdr:from>
    <xdr:to>
      <xdr:col>1</xdr:col>
      <xdr:colOff>1152525</xdr:colOff>
      <xdr:row>4</xdr:row>
      <xdr:rowOff>47625</xdr:rowOff>
    </xdr:to>
    <xdr:pic>
      <xdr:nvPicPr>
        <xdr:cNvPr id="42804" name="Picture 75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64782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89</xdr:row>
      <xdr:rowOff>0</xdr:rowOff>
    </xdr:from>
    <xdr:to>
      <xdr:col>1</xdr:col>
      <xdr:colOff>2333625</xdr:colOff>
      <xdr:row>91</xdr:row>
      <xdr:rowOff>66675</xdr:rowOff>
    </xdr:to>
    <xdr:pic>
      <xdr:nvPicPr>
        <xdr:cNvPr id="42805" name="Picture 75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5049500"/>
          <a:ext cx="28575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371475</xdr:colOff>
      <xdr:row>89</xdr:row>
      <xdr:rowOff>0</xdr:rowOff>
    </xdr:from>
    <xdr:to>
      <xdr:col>4</xdr:col>
      <xdr:colOff>914400</xdr:colOff>
      <xdr:row>91</xdr:row>
      <xdr:rowOff>66675</xdr:rowOff>
    </xdr:to>
    <xdr:pic>
      <xdr:nvPicPr>
        <xdr:cNvPr id="42806" name="Picture 75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15049500"/>
          <a:ext cx="26955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266700</xdr:colOff>
      <xdr:row>48</xdr:row>
      <xdr:rowOff>85725</xdr:rowOff>
    </xdr:from>
    <xdr:to>
      <xdr:col>1</xdr:col>
      <xdr:colOff>266700</xdr:colOff>
      <xdr:row>48</xdr:row>
      <xdr:rowOff>714375</xdr:rowOff>
    </xdr:to>
    <xdr:sp macro="" textlink="">
      <xdr:nvSpPr>
        <xdr:cNvPr id="42807" name="Line 1217"/>
        <xdr:cNvSpPr>
          <a:spLocks noChangeShapeType="1"/>
        </xdr:cNvSpPr>
      </xdr:nvSpPr>
      <xdr:spPr bwMode="auto">
        <a:xfrm>
          <a:off x="809625" y="7677150"/>
          <a:ext cx="0" cy="628650"/>
        </a:xfrm>
        <a:prstGeom prst="line">
          <a:avLst/>
        </a:prstGeom>
        <a:noFill/>
        <a:ln w="57150">
          <a:solidFill>
            <a:srgbClr val="FFCC99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112395</xdr:colOff>
      <xdr:row>48</xdr:row>
      <xdr:rowOff>299085</xdr:rowOff>
    </xdr:from>
    <xdr:ext cx="1493614" cy="170560"/>
    <xdr:sp macro="" textlink="">
      <xdr:nvSpPr>
        <xdr:cNvPr id="7362" name="Text Box 1218"/>
        <xdr:cNvSpPr txBox="1">
          <a:spLocks noChangeArrowheads="1"/>
        </xdr:cNvSpPr>
      </xdr:nvSpPr>
      <xdr:spPr bwMode="auto">
        <a:xfrm>
          <a:off x="658495" y="8020685"/>
          <a:ext cx="1493614" cy="170560"/>
        </a:xfrm>
        <a:prstGeom prst="rect">
          <a:avLst/>
        </a:prstGeom>
        <a:solidFill>
          <a:srgbClr val="FFFFFF"/>
        </a:solidFill>
        <a:ln w="50800">
          <a:solidFill>
            <a:srgbClr val="FFCC99"/>
          </a:solidFill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FF6600"/>
              </a:solidFill>
              <a:latin typeface="Arial"/>
              <a:cs typeface="Arial"/>
            </a:rPr>
            <a:t>Benchmarkingverfahren</a:t>
          </a:r>
        </a:p>
      </xdr:txBody>
    </xdr:sp>
    <xdr:clientData/>
  </xdr:oneCellAnchor>
  <xdr:twoCellAnchor>
    <xdr:from>
      <xdr:col>1</xdr:col>
      <xdr:colOff>266700</xdr:colOff>
      <xdr:row>48</xdr:row>
      <xdr:rowOff>85725</xdr:rowOff>
    </xdr:from>
    <xdr:to>
      <xdr:col>1</xdr:col>
      <xdr:colOff>266700</xdr:colOff>
      <xdr:row>48</xdr:row>
      <xdr:rowOff>714375</xdr:rowOff>
    </xdr:to>
    <xdr:sp macro="" textlink="">
      <xdr:nvSpPr>
        <xdr:cNvPr id="42809" name="Line 1217"/>
        <xdr:cNvSpPr>
          <a:spLocks noChangeShapeType="1"/>
        </xdr:cNvSpPr>
      </xdr:nvSpPr>
      <xdr:spPr bwMode="auto">
        <a:xfrm>
          <a:off x="809625" y="7677150"/>
          <a:ext cx="0" cy="628650"/>
        </a:xfrm>
        <a:prstGeom prst="line">
          <a:avLst/>
        </a:prstGeom>
        <a:noFill/>
        <a:ln w="57150">
          <a:solidFill>
            <a:srgbClr val="FFCC99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112395</xdr:colOff>
      <xdr:row>48</xdr:row>
      <xdr:rowOff>299085</xdr:rowOff>
    </xdr:from>
    <xdr:ext cx="1493614" cy="170560"/>
    <xdr:sp macro="" textlink="">
      <xdr:nvSpPr>
        <xdr:cNvPr id="12" name="Text Box 1218"/>
        <xdr:cNvSpPr txBox="1">
          <a:spLocks noChangeArrowheads="1"/>
        </xdr:cNvSpPr>
      </xdr:nvSpPr>
      <xdr:spPr bwMode="auto">
        <a:xfrm>
          <a:off x="658495" y="8020685"/>
          <a:ext cx="1493614" cy="170560"/>
        </a:xfrm>
        <a:prstGeom prst="rect">
          <a:avLst/>
        </a:prstGeom>
        <a:solidFill>
          <a:srgbClr val="FFFFFF"/>
        </a:solidFill>
        <a:ln w="50800">
          <a:solidFill>
            <a:srgbClr val="FFCC99"/>
          </a:solidFill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FF6600"/>
              </a:solidFill>
              <a:latin typeface="Arial"/>
              <a:cs typeface="Arial"/>
            </a:rPr>
            <a:t>Benchmarkingverfahren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85</xdr:row>
      <xdr:rowOff>0</xdr:rowOff>
    </xdr:from>
    <xdr:to>
      <xdr:col>1</xdr:col>
      <xdr:colOff>2219325</xdr:colOff>
      <xdr:row>87</xdr:row>
      <xdr:rowOff>76200</xdr:rowOff>
    </xdr:to>
    <xdr:pic>
      <xdr:nvPicPr>
        <xdr:cNvPr id="1579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2458700"/>
          <a:ext cx="25241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3048000</xdr:colOff>
      <xdr:row>85</xdr:row>
      <xdr:rowOff>47625</xdr:rowOff>
    </xdr:from>
    <xdr:to>
      <xdr:col>2</xdr:col>
      <xdr:colOff>1123950</xdr:colOff>
      <xdr:row>87</xdr:row>
      <xdr:rowOff>38100</xdr:rowOff>
    </xdr:to>
    <xdr:pic>
      <xdr:nvPicPr>
        <xdr:cNvPr id="1579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0" y="12506325"/>
          <a:ext cx="18954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47625</xdr:colOff>
      <xdr:row>0</xdr:row>
      <xdr:rowOff>47625</xdr:rowOff>
    </xdr:from>
    <xdr:to>
      <xdr:col>1</xdr:col>
      <xdr:colOff>981075</xdr:colOff>
      <xdr:row>4</xdr:row>
      <xdr:rowOff>95250</xdr:rowOff>
    </xdr:to>
    <xdr:pic>
      <xdr:nvPicPr>
        <xdr:cNvPr id="15792" name="Picture 75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131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47625</xdr:rowOff>
    </xdr:from>
    <xdr:to>
      <xdr:col>1</xdr:col>
      <xdr:colOff>1152525</xdr:colOff>
      <xdr:row>4</xdr:row>
      <xdr:rowOff>47625</xdr:rowOff>
    </xdr:to>
    <xdr:pic>
      <xdr:nvPicPr>
        <xdr:cNvPr id="38890" name="Picture 75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8002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75</xdr:row>
      <xdr:rowOff>0</xdr:rowOff>
    </xdr:from>
    <xdr:to>
      <xdr:col>1</xdr:col>
      <xdr:colOff>2371725</xdr:colOff>
      <xdr:row>77</xdr:row>
      <xdr:rowOff>66675</xdr:rowOff>
    </xdr:to>
    <xdr:pic>
      <xdr:nvPicPr>
        <xdr:cNvPr id="38891" name="Picture 75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2477750"/>
          <a:ext cx="30099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552450</xdr:colOff>
      <xdr:row>75</xdr:row>
      <xdr:rowOff>66675</xdr:rowOff>
    </xdr:from>
    <xdr:to>
      <xdr:col>24</xdr:col>
      <xdr:colOff>1028700</xdr:colOff>
      <xdr:row>77</xdr:row>
      <xdr:rowOff>133350</xdr:rowOff>
    </xdr:to>
    <xdr:pic>
      <xdr:nvPicPr>
        <xdr:cNvPr id="38892" name="Picture 75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58450" y="125444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266700</xdr:colOff>
      <xdr:row>48</xdr:row>
      <xdr:rowOff>85725</xdr:rowOff>
    </xdr:from>
    <xdr:to>
      <xdr:col>1</xdr:col>
      <xdr:colOff>266700</xdr:colOff>
      <xdr:row>48</xdr:row>
      <xdr:rowOff>714375</xdr:rowOff>
    </xdr:to>
    <xdr:sp macro="" textlink="">
      <xdr:nvSpPr>
        <xdr:cNvPr id="38893" name="Line 1217"/>
        <xdr:cNvSpPr>
          <a:spLocks noChangeShapeType="1"/>
        </xdr:cNvSpPr>
      </xdr:nvSpPr>
      <xdr:spPr bwMode="auto">
        <a:xfrm>
          <a:off x="962025" y="7620000"/>
          <a:ext cx="0" cy="485775"/>
        </a:xfrm>
        <a:prstGeom prst="line">
          <a:avLst/>
        </a:prstGeom>
        <a:noFill/>
        <a:ln w="57150">
          <a:solidFill>
            <a:srgbClr val="FFCC99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110490</xdr:colOff>
      <xdr:row>48</xdr:row>
      <xdr:rowOff>230505</xdr:rowOff>
    </xdr:from>
    <xdr:ext cx="1493614" cy="170560"/>
    <xdr:sp macro="" textlink="">
      <xdr:nvSpPr>
        <xdr:cNvPr id="6" name="Text Box 1218"/>
        <xdr:cNvSpPr txBox="1">
          <a:spLocks noChangeArrowheads="1"/>
        </xdr:cNvSpPr>
      </xdr:nvSpPr>
      <xdr:spPr bwMode="auto">
        <a:xfrm>
          <a:off x="808990" y="7888605"/>
          <a:ext cx="1493614" cy="170560"/>
        </a:xfrm>
        <a:prstGeom prst="rect">
          <a:avLst/>
        </a:prstGeom>
        <a:solidFill>
          <a:srgbClr val="FFFFFF"/>
        </a:solidFill>
        <a:ln w="50800">
          <a:solidFill>
            <a:srgbClr val="FFCC99"/>
          </a:solidFill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FF6600"/>
              </a:solidFill>
              <a:latin typeface="Arial"/>
              <a:cs typeface="Arial"/>
            </a:rPr>
            <a:t>Benchmarkingverfahren</a:t>
          </a:r>
        </a:p>
      </xdr:txBody>
    </xdr:sp>
    <xdr:clientData/>
  </xdr:oneCellAnchor>
  <xdr:twoCellAnchor>
    <xdr:from>
      <xdr:col>1</xdr:col>
      <xdr:colOff>266700</xdr:colOff>
      <xdr:row>48</xdr:row>
      <xdr:rowOff>85725</xdr:rowOff>
    </xdr:from>
    <xdr:to>
      <xdr:col>1</xdr:col>
      <xdr:colOff>266700</xdr:colOff>
      <xdr:row>48</xdr:row>
      <xdr:rowOff>714375</xdr:rowOff>
    </xdr:to>
    <xdr:sp macro="" textlink="">
      <xdr:nvSpPr>
        <xdr:cNvPr id="38895" name="Line 1217"/>
        <xdr:cNvSpPr>
          <a:spLocks noChangeShapeType="1"/>
        </xdr:cNvSpPr>
      </xdr:nvSpPr>
      <xdr:spPr bwMode="auto">
        <a:xfrm>
          <a:off x="962025" y="7620000"/>
          <a:ext cx="0" cy="485775"/>
        </a:xfrm>
        <a:prstGeom prst="line">
          <a:avLst/>
        </a:prstGeom>
        <a:noFill/>
        <a:ln w="57150">
          <a:solidFill>
            <a:srgbClr val="FFCC99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110490</xdr:colOff>
      <xdr:row>48</xdr:row>
      <xdr:rowOff>230505</xdr:rowOff>
    </xdr:from>
    <xdr:ext cx="1493614" cy="170560"/>
    <xdr:sp macro="" textlink="">
      <xdr:nvSpPr>
        <xdr:cNvPr id="8" name="Text Box 1218"/>
        <xdr:cNvSpPr txBox="1">
          <a:spLocks noChangeArrowheads="1"/>
        </xdr:cNvSpPr>
      </xdr:nvSpPr>
      <xdr:spPr bwMode="auto">
        <a:xfrm>
          <a:off x="808990" y="7888605"/>
          <a:ext cx="1493614" cy="170560"/>
        </a:xfrm>
        <a:prstGeom prst="rect">
          <a:avLst/>
        </a:prstGeom>
        <a:solidFill>
          <a:srgbClr val="FFFFFF"/>
        </a:solidFill>
        <a:ln w="50800">
          <a:solidFill>
            <a:srgbClr val="FFCC99"/>
          </a:solidFill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FF6600"/>
              </a:solidFill>
              <a:latin typeface="Arial"/>
              <a:cs typeface="Arial"/>
            </a:rPr>
            <a:t>Benchmarkingverfahren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77</xdr:row>
      <xdr:rowOff>38100</xdr:rowOff>
    </xdr:from>
    <xdr:to>
      <xdr:col>1</xdr:col>
      <xdr:colOff>2228850</xdr:colOff>
      <xdr:row>79</xdr:row>
      <xdr:rowOff>114300</xdr:rowOff>
    </xdr:to>
    <xdr:pic>
      <xdr:nvPicPr>
        <xdr:cNvPr id="3934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2544425"/>
          <a:ext cx="2867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47625</xdr:colOff>
      <xdr:row>0</xdr:row>
      <xdr:rowOff>47625</xdr:rowOff>
    </xdr:from>
    <xdr:to>
      <xdr:col>1</xdr:col>
      <xdr:colOff>981075</xdr:colOff>
      <xdr:row>4</xdr:row>
      <xdr:rowOff>95250</xdr:rowOff>
    </xdr:to>
    <xdr:pic>
      <xdr:nvPicPr>
        <xdr:cNvPr id="39343" name="Picture 75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6478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838200</xdr:colOff>
      <xdr:row>77</xdr:row>
      <xdr:rowOff>38100</xdr:rowOff>
    </xdr:from>
    <xdr:to>
      <xdr:col>66</xdr:col>
      <xdr:colOff>333375</xdr:colOff>
      <xdr:row>79</xdr:row>
      <xdr:rowOff>104775</xdr:rowOff>
    </xdr:to>
    <xdr:pic>
      <xdr:nvPicPr>
        <xdr:cNvPr id="39344" name="Grafik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40125" y="12544425"/>
          <a:ext cx="24098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47625</xdr:rowOff>
    </xdr:from>
    <xdr:to>
      <xdr:col>1</xdr:col>
      <xdr:colOff>1162050</xdr:colOff>
      <xdr:row>4</xdr:row>
      <xdr:rowOff>47625</xdr:rowOff>
    </xdr:to>
    <xdr:pic>
      <xdr:nvPicPr>
        <xdr:cNvPr id="50514" name="Picture 75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65735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65</xdr:row>
      <xdr:rowOff>9525</xdr:rowOff>
    </xdr:from>
    <xdr:to>
      <xdr:col>1</xdr:col>
      <xdr:colOff>2371725</xdr:colOff>
      <xdr:row>67</xdr:row>
      <xdr:rowOff>76200</xdr:rowOff>
    </xdr:to>
    <xdr:pic>
      <xdr:nvPicPr>
        <xdr:cNvPr id="50515" name="Picture 75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2277725"/>
          <a:ext cx="28575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552450</xdr:colOff>
      <xdr:row>65</xdr:row>
      <xdr:rowOff>47625</xdr:rowOff>
    </xdr:from>
    <xdr:to>
      <xdr:col>24</xdr:col>
      <xdr:colOff>1028700</xdr:colOff>
      <xdr:row>67</xdr:row>
      <xdr:rowOff>114300</xdr:rowOff>
    </xdr:to>
    <xdr:pic>
      <xdr:nvPicPr>
        <xdr:cNvPr id="50516" name="Picture 75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44475" y="123158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266700</xdr:colOff>
      <xdr:row>40</xdr:row>
      <xdr:rowOff>85725</xdr:rowOff>
    </xdr:from>
    <xdr:to>
      <xdr:col>1</xdr:col>
      <xdr:colOff>266700</xdr:colOff>
      <xdr:row>40</xdr:row>
      <xdr:rowOff>714375</xdr:rowOff>
    </xdr:to>
    <xdr:sp macro="" textlink="">
      <xdr:nvSpPr>
        <xdr:cNvPr id="50517" name="Line 1217"/>
        <xdr:cNvSpPr>
          <a:spLocks noChangeShapeType="1"/>
        </xdr:cNvSpPr>
      </xdr:nvSpPr>
      <xdr:spPr bwMode="auto">
        <a:xfrm>
          <a:off x="809625" y="7610475"/>
          <a:ext cx="0" cy="609600"/>
        </a:xfrm>
        <a:prstGeom prst="line">
          <a:avLst/>
        </a:prstGeom>
        <a:noFill/>
        <a:ln w="57150">
          <a:solidFill>
            <a:srgbClr val="FFCC99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112395</xdr:colOff>
      <xdr:row>40</xdr:row>
      <xdr:rowOff>264795</xdr:rowOff>
    </xdr:from>
    <xdr:ext cx="1493614" cy="170560"/>
    <xdr:sp macro="" textlink="">
      <xdr:nvSpPr>
        <xdr:cNvPr id="6" name="Text Box 1218"/>
        <xdr:cNvSpPr txBox="1">
          <a:spLocks noChangeArrowheads="1"/>
        </xdr:cNvSpPr>
      </xdr:nvSpPr>
      <xdr:spPr bwMode="auto">
        <a:xfrm>
          <a:off x="658495" y="7910195"/>
          <a:ext cx="1493614" cy="170560"/>
        </a:xfrm>
        <a:prstGeom prst="rect">
          <a:avLst/>
        </a:prstGeom>
        <a:solidFill>
          <a:srgbClr val="FFFFFF"/>
        </a:solidFill>
        <a:ln w="50800">
          <a:solidFill>
            <a:srgbClr val="FFCC99"/>
          </a:solidFill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FF6600"/>
              </a:solidFill>
              <a:latin typeface="Arial"/>
              <a:cs typeface="Arial"/>
            </a:rPr>
            <a:t>Benchmarkingverfahren</a:t>
          </a:r>
        </a:p>
      </xdr:txBody>
    </xdr:sp>
    <xdr:clientData/>
  </xdr:oneCellAnchor>
  <xdr:twoCellAnchor>
    <xdr:from>
      <xdr:col>1</xdr:col>
      <xdr:colOff>266700</xdr:colOff>
      <xdr:row>40</xdr:row>
      <xdr:rowOff>85725</xdr:rowOff>
    </xdr:from>
    <xdr:to>
      <xdr:col>1</xdr:col>
      <xdr:colOff>266700</xdr:colOff>
      <xdr:row>40</xdr:row>
      <xdr:rowOff>714375</xdr:rowOff>
    </xdr:to>
    <xdr:sp macro="" textlink="">
      <xdr:nvSpPr>
        <xdr:cNvPr id="50519" name="Line 1217"/>
        <xdr:cNvSpPr>
          <a:spLocks noChangeShapeType="1"/>
        </xdr:cNvSpPr>
      </xdr:nvSpPr>
      <xdr:spPr bwMode="auto">
        <a:xfrm>
          <a:off x="809625" y="7610475"/>
          <a:ext cx="0" cy="609600"/>
        </a:xfrm>
        <a:prstGeom prst="line">
          <a:avLst/>
        </a:prstGeom>
        <a:noFill/>
        <a:ln w="57150">
          <a:solidFill>
            <a:srgbClr val="FFCC99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112395</xdr:colOff>
      <xdr:row>40</xdr:row>
      <xdr:rowOff>264795</xdr:rowOff>
    </xdr:from>
    <xdr:ext cx="1493614" cy="170560"/>
    <xdr:sp macro="" textlink="">
      <xdr:nvSpPr>
        <xdr:cNvPr id="8" name="Text Box 1218"/>
        <xdr:cNvSpPr txBox="1">
          <a:spLocks noChangeArrowheads="1"/>
        </xdr:cNvSpPr>
      </xdr:nvSpPr>
      <xdr:spPr bwMode="auto">
        <a:xfrm>
          <a:off x="658495" y="7910195"/>
          <a:ext cx="1493614" cy="170560"/>
        </a:xfrm>
        <a:prstGeom prst="rect">
          <a:avLst/>
        </a:prstGeom>
        <a:solidFill>
          <a:srgbClr val="FFFFFF"/>
        </a:solidFill>
        <a:ln w="50800">
          <a:solidFill>
            <a:srgbClr val="FFCC99"/>
          </a:solidFill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FF6600"/>
              </a:solidFill>
              <a:latin typeface="Arial"/>
              <a:cs typeface="Arial"/>
            </a:rPr>
            <a:t>Benchmarkingverfahren</a:t>
          </a:r>
        </a:p>
      </xdr:txBody>
    </xdr:sp>
    <xdr:clientData/>
  </xdr:oneCellAnchor>
  <xdr:twoCellAnchor>
    <xdr:from>
      <xdr:col>0</xdr:col>
      <xdr:colOff>47625</xdr:colOff>
      <xdr:row>0</xdr:row>
      <xdr:rowOff>47625</xdr:rowOff>
    </xdr:from>
    <xdr:to>
      <xdr:col>1</xdr:col>
      <xdr:colOff>1162050</xdr:colOff>
      <xdr:row>4</xdr:row>
      <xdr:rowOff>47625</xdr:rowOff>
    </xdr:to>
    <xdr:pic>
      <xdr:nvPicPr>
        <xdr:cNvPr id="50521" name="Picture 75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65735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266700</xdr:colOff>
      <xdr:row>40</xdr:row>
      <xdr:rowOff>85725</xdr:rowOff>
    </xdr:from>
    <xdr:to>
      <xdr:col>1</xdr:col>
      <xdr:colOff>266700</xdr:colOff>
      <xdr:row>40</xdr:row>
      <xdr:rowOff>714375</xdr:rowOff>
    </xdr:to>
    <xdr:sp macro="" textlink="">
      <xdr:nvSpPr>
        <xdr:cNvPr id="50522" name="Line 1217"/>
        <xdr:cNvSpPr>
          <a:spLocks noChangeShapeType="1"/>
        </xdr:cNvSpPr>
      </xdr:nvSpPr>
      <xdr:spPr bwMode="auto">
        <a:xfrm>
          <a:off x="809625" y="7610475"/>
          <a:ext cx="0" cy="609600"/>
        </a:xfrm>
        <a:prstGeom prst="line">
          <a:avLst/>
        </a:prstGeom>
        <a:noFill/>
        <a:ln w="57150">
          <a:solidFill>
            <a:srgbClr val="FFCC99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112395</xdr:colOff>
      <xdr:row>40</xdr:row>
      <xdr:rowOff>264795</xdr:rowOff>
    </xdr:from>
    <xdr:ext cx="1493614" cy="170560"/>
    <xdr:sp macro="" textlink="">
      <xdr:nvSpPr>
        <xdr:cNvPr id="13" name="Text Box 1218"/>
        <xdr:cNvSpPr txBox="1">
          <a:spLocks noChangeArrowheads="1"/>
        </xdr:cNvSpPr>
      </xdr:nvSpPr>
      <xdr:spPr bwMode="auto">
        <a:xfrm>
          <a:off x="658495" y="7910195"/>
          <a:ext cx="1493614" cy="170560"/>
        </a:xfrm>
        <a:prstGeom prst="rect">
          <a:avLst/>
        </a:prstGeom>
        <a:solidFill>
          <a:srgbClr val="FFFFFF"/>
        </a:solidFill>
        <a:ln w="50800">
          <a:solidFill>
            <a:srgbClr val="FFCC99"/>
          </a:solidFill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FF6600"/>
              </a:solidFill>
              <a:latin typeface="Arial"/>
              <a:cs typeface="Arial"/>
            </a:rPr>
            <a:t>Benchmarkingverfahren</a:t>
          </a:r>
        </a:p>
      </xdr:txBody>
    </xdr:sp>
    <xdr:clientData/>
  </xdr:oneCellAnchor>
  <xdr:twoCellAnchor>
    <xdr:from>
      <xdr:col>1</xdr:col>
      <xdr:colOff>266700</xdr:colOff>
      <xdr:row>40</xdr:row>
      <xdr:rowOff>85725</xdr:rowOff>
    </xdr:from>
    <xdr:to>
      <xdr:col>1</xdr:col>
      <xdr:colOff>266700</xdr:colOff>
      <xdr:row>40</xdr:row>
      <xdr:rowOff>714375</xdr:rowOff>
    </xdr:to>
    <xdr:sp macro="" textlink="">
      <xdr:nvSpPr>
        <xdr:cNvPr id="50524" name="Line 1217"/>
        <xdr:cNvSpPr>
          <a:spLocks noChangeShapeType="1"/>
        </xdr:cNvSpPr>
      </xdr:nvSpPr>
      <xdr:spPr bwMode="auto">
        <a:xfrm>
          <a:off x="809625" y="7610475"/>
          <a:ext cx="0" cy="609600"/>
        </a:xfrm>
        <a:prstGeom prst="line">
          <a:avLst/>
        </a:prstGeom>
        <a:noFill/>
        <a:ln w="57150">
          <a:solidFill>
            <a:srgbClr val="FFCC99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112395</xdr:colOff>
      <xdr:row>40</xdr:row>
      <xdr:rowOff>264795</xdr:rowOff>
    </xdr:from>
    <xdr:ext cx="1493614" cy="170560"/>
    <xdr:sp macro="" textlink="">
      <xdr:nvSpPr>
        <xdr:cNvPr id="15" name="Text Box 1218"/>
        <xdr:cNvSpPr txBox="1">
          <a:spLocks noChangeArrowheads="1"/>
        </xdr:cNvSpPr>
      </xdr:nvSpPr>
      <xdr:spPr bwMode="auto">
        <a:xfrm>
          <a:off x="658495" y="7910195"/>
          <a:ext cx="1493614" cy="170560"/>
        </a:xfrm>
        <a:prstGeom prst="rect">
          <a:avLst/>
        </a:prstGeom>
        <a:solidFill>
          <a:srgbClr val="FFFFFF"/>
        </a:solidFill>
        <a:ln w="50800">
          <a:solidFill>
            <a:srgbClr val="FFCC99"/>
          </a:solidFill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FF6600"/>
              </a:solidFill>
              <a:latin typeface="Arial"/>
              <a:cs typeface="Arial"/>
            </a:rPr>
            <a:t>Benchmarkingverfahren</a:t>
          </a:r>
        </a:p>
      </xdr:txBody>
    </xdr:sp>
    <xdr:clientData/>
  </xdr:oneCellAnchor>
  <xdr:twoCellAnchor>
    <xdr:from>
      <xdr:col>22</xdr:col>
      <xdr:colOff>552450</xdr:colOff>
      <xdr:row>67</xdr:row>
      <xdr:rowOff>66675</xdr:rowOff>
    </xdr:from>
    <xdr:to>
      <xdr:col>24</xdr:col>
      <xdr:colOff>1028700</xdr:colOff>
      <xdr:row>69</xdr:row>
      <xdr:rowOff>133350</xdr:rowOff>
    </xdr:to>
    <xdr:pic>
      <xdr:nvPicPr>
        <xdr:cNvPr id="50526" name="Picture 75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44475" y="126587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75</xdr:row>
      <xdr:rowOff>38100</xdr:rowOff>
    </xdr:from>
    <xdr:to>
      <xdr:col>1</xdr:col>
      <xdr:colOff>2228850</xdr:colOff>
      <xdr:row>77</xdr:row>
      <xdr:rowOff>114300</xdr:rowOff>
    </xdr:to>
    <xdr:pic>
      <xdr:nvPicPr>
        <xdr:cNvPr id="4147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2544425"/>
          <a:ext cx="2867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47625</xdr:colOff>
      <xdr:row>0</xdr:row>
      <xdr:rowOff>47625</xdr:rowOff>
    </xdr:from>
    <xdr:to>
      <xdr:col>1</xdr:col>
      <xdr:colOff>981075</xdr:colOff>
      <xdr:row>4</xdr:row>
      <xdr:rowOff>95250</xdr:rowOff>
    </xdr:to>
    <xdr:pic>
      <xdr:nvPicPr>
        <xdr:cNvPr id="41472" name="Picture 75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6478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828675</xdr:colOff>
      <xdr:row>75</xdr:row>
      <xdr:rowOff>28575</xdr:rowOff>
    </xdr:from>
    <xdr:to>
      <xdr:col>53</xdr:col>
      <xdr:colOff>352425</xdr:colOff>
      <xdr:row>77</xdr:row>
      <xdr:rowOff>95250</xdr:rowOff>
    </xdr:to>
    <xdr:pic>
      <xdr:nvPicPr>
        <xdr:cNvPr id="41473" name="Grafik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0" y="12534900"/>
          <a:ext cx="24288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75</xdr:row>
      <xdr:rowOff>38100</xdr:rowOff>
    </xdr:from>
    <xdr:to>
      <xdr:col>1</xdr:col>
      <xdr:colOff>2228850</xdr:colOff>
      <xdr:row>77</xdr:row>
      <xdr:rowOff>114300</xdr:rowOff>
    </xdr:to>
    <xdr:pic>
      <xdr:nvPicPr>
        <xdr:cNvPr id="4147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2544425"/>
          <a:ext cx="2867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47625</xdr:colOff>
      <xdr:row>0</xdr:row>
      <xdr:rowOff>47625</xdr:rowOff>
    </xdr:from>
    <xdr:to>
      <xdr:col>1</xdr:col>
      <xdr:colOff>981075</xdr:colOff>
      <xdr:row>4</xdr:row>
      <xdr:rowOff>95250</xdr:rowOff>
    </xdr:to>
    <xdr:pic>
      <xdr:nvPicPr>
        <xdr:cNvPr id="41475" name="Picture 75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6478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838200</xdr:colOff>
      <xdr:row>75</xdr:row>
      <xdr:rowOff>38100</xdr:rowOff>
    </xdr:from>
    <xdr:to>
      <xdr:col>66</xdr:col>
      <xdr:colOff>152400</xdr:colOff>
      <xdr:row>77</xdr:row>
      <xdr:rowOff>104775</xdr:rowOff>
    </xdr:to>
    <xdr:pic>
      <xdr:nvPicPr>
        <xdr:cNvPr id="41476" name="Grafik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1825" y="12544425"/>
          <a:ext cx="74199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&#65279;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 /></Relationships>
</file>

<file path=xl/worksheets/_rels/sheet10.xml.rels>&#65279;<?xml version="1.0" encoding="UTF-8" standalone="yes"?>
<Relationships xmlns="http://schemas.openxmlformats.org/package/2006/relationships"></Relationships>
</file>

<file path=xl/worksheets/_rels/sheet11.xml.rels>&#65279;<?xml version="1.0" encoding="UTF-8" standalone="yes"?>
<Relationships xmlns="http://schemas.openxmlformats.org/package/2006/relationships"><Relationship Id="rId3" Type="http://schemas.openxmlformats.org/officeDocument/2006/relationships/image" Target="../media/image6.png" /><Relationship Id="rId2" Type="http://schemas.openxmlformats.org/officeDocument/2006/relationships/drawing" Target="../drawings/drawing3.xml" /></Relationships>
</file>

<file path=xl/worksheets/_rels/sheet12.xml.rels>&#65279;<?xml version="1.0" encoding="UTF-8" standalone="yes"?>
<Relationships xmlns="http://schemas.openxmlformats.org/package/2006/relationships"><Relationship Id="rId3" Type="http://schemas.openxmlformats.org/officeDocument/2006/relationships/image" Target="../media/image6.png" /><Relationship Id="rId2" Type="http://schemas.openxmlformats.org/officeDocument/2006/relationships/drawing" Target="../drawings/drawing4.xml" /></Relationships>
</file>

<file path=xl/worksheets/_rels/sheet13.xml.rels>&#65279;<?xml version="1.0" encoding="UTF-8" standalone="yes"?>
<Relationships xmlns="http://schemas.openxmlformats.org/package/2006/relationships"><Relationship Id="rId3" Type="http://schemas.openxmlformats.org/officeDocument/2006/relationships/image" Target="../media/image9.png" /><Relationship Id="rId2" Type="http://schemas.openxmlformats.org/officeDocument/2006/relationships/drawing" Target="../drawings/drawing5.xml" /></Relationships>
</file>

<file path=xl/worksheets/_rels/sheet14.xml.rels>&#65279;<?xml version="1.0" encoding="UTF-8" standalone="yes"?>
<Relationships xmlns="http://schemas.openxmlformats.org/package/2006/relationships"><Relationship Id="rId3" Type="http://schemas.openxmlformats.org/officeDocument/2006/relationships/image" Target="../media/image9.png" /><Relationship Id="rId2" Type="http://schemas.openxmlformats.org/officeDocument/2006/relationships/drawing" Target="../drawings/drawing6.xml" /></Relationships>
</file>

<file path=xl/worksheets/_rels/sheet2.xml.rels>&#65279;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 /><Relationship Id="rId2" Type="http://schemas.openxmlformats.org/officeDocument/2006/relationships/drawing" Target="../drawings/drawing1.xml" /></Relationships>
</file>

<file path=xl/worksheets/_rels/sheet3.xml.rels>&#65279;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 /><Relationship Id="rId2" Type="http://schemas.openxmlformats.org/officeDocument/2006/relationships/drawing" Target="../drawings/drawing2.xml" /></Relationships>
</file>

<file path=xl/worksheets/_rels/sheet4.xml.rels>&#65279;<?xml version="1.0" encoding="UTF-8" standalone="yes"?>
<Relationships xmlns="http://schemas.openxmlformats.org/package/2006/relationships"></Relationships>
</file>

<file path=xl/worksheets/_rels/sheet5.xml.rels>&#65279;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 /></Relationships>
</file>

<file path=xl/worksheets/_rels/sheet6.xml.rels>&#65279;<?xml version="1.0" encoding="UTF-8" standalone="yes"?>
<Relationships xmlns="http://schemas.openxmlformats.org/package/2006/relationships"></Relationships>
</file>

<file path=xl/worksheets/_rels/sheet7.xml.rels>&#65279;<?xml version="1.0" encoding="UTF-8" standalone="yes"?>
<Relationships xmlns="http://schemas.openxmlformats.org/package/2006/relationships"></Relationships>
</file>

<file path=xl/worksheets/_rels/sheet8.xml.rels>&#65279;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 /></Relationships>
</file>

<file path=xl/worksheets/_rels/sheet9.xml.rels>&#65279;<?xml version="1.0" encoding="UTF-8" standalone="yes"?>
<Relationships xmlns="http://schemas.openxmlformats.org/package/2006/relationships"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tabColor rgb="FF00B050"/>
    <pageSetUpPr fitToPage="1"/>
  </sheetPr>
  <dimension ref="A1:C71"/>
  <sheetViews>
    <sheetView tabSelected="1" workbookViewId="0">
      <selection activeCell="B7" sqref="B7"/>
    </sheetView>
  </sheetViews>
  <sheetFormatPr baseColWidth="10" defaultColWidth="11.42578125" defaultRowHeight="12.75"/>
  <cols>
    <col min="1" max="1" width="99" style="678" customWidth="1"/>
    <col min="2" max="2" width="29" style="678" customWidth="1"/>
    <col min="3" max="3" width="25.140625" style="678" customWidth="1"/>
    <col min="4" max="4" width="1.7109375" style="678" customWidth="1"/>
    <col min="5" max="16384" width="11.42578125" style="678"/>
  </cols>
  <sheetData>
    <row r="1" spans="1:3" ht="20.25">
      <c r="A1" s="879" t="s">
        <v>1413</v>
      </c>
    </row>
    <row r="2" spans="1:3">
      <c r="A2" s="880" t="s">
        <v>1414</v>
      </c>
      <c r="B2" s="1355"/>
    </row>
    <row r="3" spans="1:3" s="685" customFormat="1" ht="27" customHeight="1">
      <c r="A3" s="824" t="s">
        <v>1356</v>
      </c>
      <c r="B3" s="1038"/>
    </row>
    <row r="4" spans="1:3" s="685" customFormat="1" ht="27" customHeight="1">
      <c r="A4" s="824" t="s">
        <v>1357</v>
      </c>
      <c r="B4" s="1038"/>
    </row>
    <row r="5" spans="1:3" s="685" customFormat="1" ht="27" customHeight="1">
      <c r="A5" s="824" t="s">
        <v>1358</v>
      </c>
      <c r="B5" s="1038"/>
    </row>
    <row r="6" spans="1:3" s="685" customFormat="1" ht="27" customHeight="1">
      <c r="A6" s="824" t="s">
        <v>1417</v>
      </c>
      <c r="B6" s="1038"/>
    </row>
    <row r="7" spans="1:3" s="685" customFormat="1" ht="27" customHeight="1">
      <c r="A7" s="825" t="s">
        <v>1359</v>
      </c>
      <c r="B7" s="939"/>
    </row>
    <row r="8" spans="1:3" s="685" customFormat="1" ht="27" customHeight="1">
      <c r="A8" s="826" t="s">
        <v>1360</v>
      </c>
      <c r="B8" s="1038"/>
    </row>
    <row r="9" spans="1:3" s="685" customFormat="1" ht="27" customHeight="1">
      <c r="A9" s="826" t="s">
        <v>1361</v>
      </c>
      <c r="B9" s="1038"/>
    </row>
    <row r="10" spans="1:3" s="685" customFormat="1" ht="27.75" customHeight="1">
      <c r="A10" s="825" t="s">
        <v>1412</v>
      </c>
      <c r="B10" s="1038"/>
    </row>
    <row r="11" spans="1:3" s="685" customFormat="1" ht="27" customHeight="1">
      <c r="A11" s="825" t="s">
        <v>2069</v>
      </c>
      <c r="B11" s="1038"/>
    </row>
    <row r="12" spans="1:3" s="685" customFormat="1" ht="27" customHeight="1">
      <c r="A12" s="825" t="s">
        <v>1362</v>
      </c>
      <c r="B12" s="827" t="s">
        <v>1363</v>
      </c>
      <c r="C12" s="825" t="s">
        <v>1364</v>
      </c>
    </row>
    <row r="13" spans="1:3" s="685" customFormat="1" ht="27" customHeight="1">
      <c r="A13" s="828" t="s">
        <v>1365</v>
      </c>
      <c r="B13" s="1038"/>
      <c r="C13" s="948">
        <f>'ITAR_K Gesamtansicht'!CF19</f>
        <v>0</v>
      </c>
    </row>
    <row r="14" spans="1:3" s="685" customFormat="1" ht="27" customHeight="1">
      <c r="A14" s="828" t="s">
        <v>1366</v>
      </c>
      <c r="B14" s="1038"/>
      <c r="C14" s="1038"/>
    </row>
    <row r="15" spans="1:3" ht="27" customHeight="1">
      <c r="A15" s="829" t="s">
        <v>1367</v>
      </c>
      <c r="B15" s="1038"/>
      <c r="C15" s="1038"/>
    </row>
    <row r="16" spans="1:3" ht="27" customHeight="1">
      <c r="A16" s="830"/>
      <c r="B16" s="830"/>
      <c r="C16" s="831"/>
    </row>
    <row r="17" spans="1:3" ht="27" customHeight="1">
      <c r="A17" s="1356" t="s">
        <v>1368</v>
      </c>
      <c r="B17" s="1358" t="s">
        <v>2068</v>
      </c>
      <c r="C17" s="1359"/>
    </row>
    <row r="18" spans="1:3" ht="27" customHeight="1">
      <c r="A18" s="1357"/>
      <c r="B18" s="832" t="s">
        <v>1369</v>
      </c>
      <c r="C18" s="832" t="s">
        <v>1370</v>
      </c>
    </row>
    <row r="19" spans="1:3" s="685" customFormat="1" ht="27" customHeight="1">
      <c r="A19" s="829" t="s">
        <v>2052</v>
      </c>
      <c r="B19" s="909">
        <f>Zusatzinfos!C7</f>
        <v>0</v>
      </c>
      <c r="C19" s="909">
        <f>Zusatzinfos!D7</f>
        <v>0</v>
      </c>
    </row>
    <row r="20" spans="1:3" s="685" customFormat="1" ht="27" customHeight="1">
      <c r="A20" s="829" t="s">
        <v>1371</v>
      </c>
      <c r="B20" s="910">
        <f>'ITAR_K Gesamtansicht'!I37</f>
        <v>0</v>
      </c>
      <c r="C20" s="910">
        <f>'ITAR_K Gesamtansicht'!J37</f>
        <v>0</v>
      </c>
    </row>
    <row r="21" spans="1:3" s="685" customFormat="1" ht="38.25">
      <c r="A21" s="828" t="s">
        <v>2050</v>
      </c>
      <c r="B21" s="1039"/>
      <c r="C21" s="1039"/>
    </row>
    <row r="22" spans="1:3" s="685" customFormat="1" ht="27" customHeight="1">
      <c r="A22" s="833" t="s">
        <v>1372</v>
      </c>
      <c r="B22" s="911">
        <f>-'ITAR_K Gesamtansicht'!I29+Zusatzinfos!C43</f>
        <v>0</v>
      </c>
      <c r="C22" s="911">
        <f>-'ITAR_K Gesamtansicht'!J29+Zusatzinfos!D43</f>
        <v>0</v>
      </c>
    </row>
  </sheetData>
  <sheetProtection password="8B2B" sheet="1" objects="1" scenarios="1" formatCells="0" formatColumns="0" formatRows="0" autoFilter="0"/>
  <protectedRanges>
    <protectedRange password="A19B" sqref="B19:C21 B3:B15" name="nicht_geschuetzt_1"/>
  </protectedRanges>
  <mergeCells count="2">
    <mergeCell ref="A17:A18"/>
    <mergeCell ref="B17:C17"/>
  </mergeCells>
  <dataValidations count="1">
    <dataValidation type="list" allowBlank="1" showInputMessage="1" showErrorMessage="1" sqref="B8:B9">
      <formula1>$A$70:$A$71</formula1>
    </dataValidation>
  </dataValidations>
  <pageMargins left="0.31496062992125984" right="0.19685039370078741" top="0.55118110236220474" bottom="0.59055118110236227" header="0.31496062992125984" footer="0.31496062992125984"/>
  <pageSetup paperSize="9" scale="90" orientation="landscape" r:id="rId1"/>
  <headerFooter>
    <oddFooter>&amp;L&amp;8&amp;F/&amp;A&amp;R&amp;8&amp;D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FF0000"/>
    <pageSetUpPr fitToPage="1"/>
  </sheetPr>
  <dimension ref="A1:E17"/>
  <sheetViews>
    <sheetView zoomScale="80" zoomScaleNormal="80" workbookViewId="0"/>
  </sheetViews>
  <sheetFormatPr baseColWidth="10" defaultRowHeight="12.75"/>
  <cols>
    <col min="1" max="2" width="48.7109375" customWidth="1"/>
  </cols>
  <sheetData>
    <row r="1" spans="1:5" ht="18">
      <c r="A1" s="807" t="s">
        <v>1352</v>
      </c>
      <c r="B1" s="808"/>
      <c r="C1" s="808"/>
      <c r="D1" s="808"/>
      <c r="E1" s="808"/>
    </row>
    <row r="2" spans="1:5" ht="18">
      <c r="A2" s="938">
        <f>'allg. Infos'!B3</f>
        <v>0</v>
      </c>
    </row>
    <row r="3" spans="1:5" ht="21" customHeight="1">
      <c r="A3" s="699" t="s">
        <v>1353</v>
      </c>
      <c r="B3" s="815" t="s">
        <v>425</v>
      </c>
    </row>
    <row r="4" spans="1:5" ht="50.25" customHeight="1">
      <c r="A4" s="809"/>
      <c r="B4" s="810"/>
    </row>
    <row r="5" spans="1:5" ht="50.25" customHeight="1">
      <c r="A5" s="811"/>
      <c r="B5" s="812"/>
    </row>
    <row r="6" spans="1:5" ht="50.25" customHeight="1">
      <c r="A6" s="811"/>
      <c r="B6" s="812"/>
    </row>
    <row r="7" spans="1:5" ht="50.25" customHeight="1">
      <c r="A7" s="811"/>
      <c r="B7" s="812"/>
    </row>
    <row r="8" spans="1:5" ht="50.25" customHeight="1">
      <c r="A8" s="811"/>
      <c r="B8" s="812"/>
    </row>
    <row r="9" spans="1:5" ht="50.25" customHeight="1">
      <c r="A9" s="811"/>
      <c r="B9" s="812"/>
    </row>
    <row r="10" spans="1:5" ht="50.25" customHeight="1">
      <c r="A10" s="811"/>
      <c r="B10" s="812"/>
    </row>
    <row r="11" spans="1:5" ht="50.25" customHeight="1">
      <c r="A11" s="811"/>
      <c r="B11" s="812"/>
    </row>
    <row r="12" spans="1:5" ht="50.25" customHeight="1">
      <c r="A12" s="811"/>
      <c r="B12" s="812"/>
    </row>
    <row r="13" spans="1:5" ht="50.25" customHeight="1">
      <c r="A13" s="811"/>
      <c r="B13" s="812"/>
    </row>
    <row r="14" spans="1:5" ht="50.25" customHeight="1">
      <c r="A14" s="811"/>
      <c r="B14" s="812"/>
    </row>
    <row r="15" spans="1:5" ht="50.25" customHeight="1">
      <c r="A15" s="811"/>
      <c r="B15" s="812"/>
    </row>
    <row r="16" spans="1:5" ht="50.25" customHeight="1">
      <c r="A16" s="811"/>
      <c r="B16" s="812"/>
    </row>
    <row r="17" spans="1:2" ht="50.25" customHeight="1">
      <c r="A17" s="813"/>
      <c r="B17" s="814"/>
    </row>
  </sheetData>
  <pageMargins left="0.47" right="0.35" top="0.57999999999999996" bottom="0.49" header="0.3" footer="0.3"/>
  <pageSetup paperSize="9" scale="99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tabColor rgb="FF00B050"/>
  </sheetPr>
  <dimension ref="A1:CI91"/>
  <sheetViews>
    <sheetView showGridLines="0" zoomScale="75" zoomScaleNormal="75" zoomScalePageLayoutView="75" workbookViewId="0">
      <pane xSplit="2" ySplit="7" topLeftCell="C8" activePane="bottomRight" state="frozen"/>
      <selection activeCell="BV9" activeCellId="1" sqref="BK9 BV9"/>
      <selection pane="topRight" activeCell="BV9" activeCellId="1" sqref="BK9 BV9"/>
      <selection pane="bottomLeft" activeCell="BV9" activeCellId="1" sqref="BK9 BV9"/>
      <selection pane="bottomRight" activeCell="O15" sqref="O15"/>
    </sheetView>
  </sheetViews>
  <sheetFormatPr baseColWidth="10" defaultColWidth="11.42578125" defaultRowHeight="12.75" outlineLevelCol="1"/>
  <cols>
    <col min="1" max="1" width="10.42578125" style="10" customWidth="1"/>
    <col min="2" max="2" width="40.42578125" style="10" customWidth="1"/>
    <col min="3" max="8" width="15.140625" style="10" customWidth="1"/>
    <col min="18" max="18" width="15.140625" style="76" customWidth="1" collapsed="1"/>
    <col min="58" max="58" width="15.140625" style="10" customWidth="1" collapsed="1"/>
    <col min="71" max="71" width="15.140625" style="10" customWidth="1" collapsed="1"/>
    <col min="72" max="75" width="15.140625" style="10" customWidth="1"/>
    <col min="83" max="83" width="15.140625" style="10" customWidth="1" collapsed="1"/>
    <col min="84" max="87" width="15.140625" style="10" customWidth="1"/>
    <col min="88" max="16384" width="11.42578125" style="10"/>
  </cols>
  <sheetData>
    <row r="1" spans="1:87" ht="26.25">
      <c r="C1" s="9" t="str">
        <f>+'ITAR_K Gesamtansicht'!C1</f>
        <v>Integriertes Tarifmodell Kostenträgerrechnung (ITAR-K) CH V5.0</v>
      </c>
      <c r="D1" s="8"/>
      <c r="E1" s="8"/>
      <c r="F1" s="8"/>
      <c r="G1" s="8"/>
      <c r="H1" s="8"/>
    </row>
    <row r="2" spans="1:87" ht="23.25">
      <c r="C2" s="151" t="str">
        <f>+'ITAR_K Gesamtansicht'!C2</f>
        <v>Nach einer Idee von Hans Isler, Inselspital</v>
      </c>
      <c r="E2" s="215" t="s">
        <v>152</v>
      </c>
    </row>
    <row r="3" spans="1:87" ht="18">
      <c r="C3" s="179">
        <f>+'ITAR_K Gesamtansicht'!C3</f>
        <v>0</v>
      </c>
    </row>
    <row r="4" spans="1:87" ht="13.5" thickBot="1">
      <c r="C4" s="2" t="str">
        <f>+'ITAR_K Gesamtansicht'!C4</f>
        <v>Kostenbasis = Kostenträgerrechnung nach REKOLE® zu Vollkosten</v>
      </c>
      <c r="R4" s="144"/>
    </row>
    <row r="5" spans="1:87">
      <c r="C5" s="177" t="str">
        <f>+'ITAR_K Gesamtansicht'!C5</f>
        <v>Modell Kostenträgerrechnung</v>
      </c>
      <c r="E5" s="1504" t="s">
        <v>555</v>
      </c>
      <c r="F5" s="555" t="str">
        <f>+'ITAR_K Gesamtansicht'!F5</f>
        <v>Name</v>
      </c>
      <c r="G5" s="556" t="str">
        <f>+'ITAR_K Gesamtansicht'!G5</f>
        <v>Tel.nr.</v>
      </c>
      <c r="H5" s="557" t="str">
        <f>+'ITAR_K Gesamtansicht'!H5</f>
        <v>Mail-Adresse</v>
      </c>
      <c r="R5" s="1023" t="str">
        <f>'ITAR_K Gesamtansicht'!R5</f>
        <v>DRG Version</v>
      </c>
    </row>
    <row r="6" spans="1:87" ht="13.5" thickBot="1">
      <c r="C6" s="10" t="str">
        <f>+'ITAR_K Gesamtansicht'!C6</f>
        <v>Geschäftsjahr</v>
      </c>
      <c r="D6" s="13">
        <f>+'ITAR_K Gesamtansicht'!D6</f>
        <v>0</v>
      </c>
      <c r="E6" s="1505"/>
      <c r="F6" s="213">
        <f>'ITAR_K Gesamtansicht'!F6</f>
        <v>0</v>
      </c>
      <c r="G6" s="212">
        <f>'ITAR_K Gesamtansicht'!G6</f>
        <v>0</v>
      </c>
      <c r="H6" s="558">
        <f>'ITAR_K Gesamtansicht'!H6</f>
        <v>0</v>
      </c>
      <c r="R6" s="1024">
        <f>'ITAR_K Gesamtansicht'!R6</f>
        <v>0</v>
      </c>
    </row>
    <row r="7" spans="1:87" s="129" customFormat="1" ht="51.75" thickBot="1">
      <c r="A7" s="125" t="str">
        <f>+'ITAR_K Gesamtansicht'!A7</f>
        <v>Koa-Gr.</v>
      </c>
      <c r="B7" s="165" t="str">
        <f>+'ITAR_K Gesamtansicht'!B7</f>
        <v>Beschreibung</v>
      </c>
      <c r="C7" s="164" t="str">
        <f>+'ITAR_K Gesamtansicht'!C7</f>
        <v>Total Aufwand
FiBu</v>
      </c>
      <c r="D7" s="126" t="str">
        <f>+'ITAR_K Gesamtansicht'!D7</f>
        <v>sachl. 
Abgrenz.</v>
      </c>
      <c r="E7" s="127" t="str">
        <f>+'ITAR_K Gesamtansicht'!E7</f>
        <v>Total BEBU Zeitrechnung</v>
      </c>
      <c r="F7" s="396" t="str">
        <f>+'ITAR_K Gesamtansicht'!F7</f>
        <v>Neben-
Betriebe</v>
      </c>
      <c r="G7" s="396" t="str">
        <f>+'ITAR_K Gesamtansicht'!G7</f>
        <v>Überlieger-korrektur Stationär Vorjahr</v>
      </c>
      <c r="H7" s="396" t="str">
        <f>+'ITAR_K Gesamtansicht'!H7</f>
        <v>Überlieger-korrektur Stationär laufendes Jahr</v>
      </c>
      <c r="R7" s="343" t="str">
        <f>+'ITAR_K Gesamtansicht'!R7</f>
        <v>Total 
stationär, SwissDRG relevant</v>
      </c>
      <c r="BF7" s="343" t="str">
        <f>+'ITAR_K Gesamtansicht'!BF7</f>
        <v>Total Rehabilitation stationär</v>
      </c>
      <c r="BS7" s="343" t="str">
        <f>+'ITAR_K Gesamtansicht'!BS7</f>
        <v>Total 
Psychiatrie stationär</v>
      </c>
      <c r="BT7" s="128" t="str">
        <f>+'ITAR_K Gesamtansicht'!BT7</f>
        <v>geriatrische Langzeit
stationär</v>
      </c>
      <c r="BU7" s="128" t="str">
        <f>+'ITAR_K Gesamtansicht'!BU7</f>
        <v>Palliativ
stationär</v>
      </c>
      <c r="BV7" s="128" t="str">
        <f>+'ITAR_K Gesamtansicht'!BV7</f>
        <v>weitere Tarife (z. B. SVK)
stationär</v>
      </c>
      <c r="BW7" s="128" t="str">
        <f>'ITAR_K Gesamtansicht'!BW7</f>
        <v>Total stationär</v>
      </c>
      <c r="CE7" s="343" t="str">
        <f>+'ITAR_K Gesamtansicht'!CE7</f>
        <v>Total 
Tageskliniken Psychiatrie</v>
      </c>
      <c r="CF7" s="128" t="str">
        <f>+'ITAR_K Gesamtansicht'!CF7</f>
        <v>universitäre Lehre + Forschung</v>
      </c>
      <c r="CG7" s="128" t="str">
        <f>+'ITAR_K Gesamtansicht'!CG7</f>
        <v>übrige Aufträge an Dritte, inkl. GWL</v>
      </c>
      <c r="CH7" s="128" t="str">
        <f>+'ITAR_K Gesamtansicht'!CH7</f>
        <v xml:space="preserve"> ambulante
Behandlung
Total</v>
      </c>
      <c r="CI7" s="128" t="str">
        <f>+'ITAR_K Gesamtansicht'!CI7</f>
        <v>Total</v>
      </c>
    </row>
    <row r="8" spans="1:87">
      <c r="A8" s="110" t="str">
        <f>'ITAR_K Gesamtansicht'!A8</f>
        <v>30 - 39</v>
      </c>
      <c r="B8" s="166" t="str">
        <f>'ITAR_K Gesamtansicht'!B8</f>
        <v>Personalaufwand exkl. Honorare</v>
      </c>
      <c r="C8" s="344">
        <f>+'ITAR_K Gesamtansicht'!C8</f>
        <v>0</v>
      </c>
      <c r="D8" s="345">
        <f>+'ITAR_K Gesamtansicht'!D8</f>
        <v>0</v>
      </c>
      <c r="E8" s="346">
        <f>+'ITAR_K Gesamtansicht'!E8</f>
        <v>0</v>
      </c>
      <c r="F8" s="369">
        <f>+'ITAR_K Gesamtansicht'!F8</f>
        <v>0</v>
      </c>
      <c r="G8" s="369"/>
      <c r="H8" s="369"/>
      <c r="R8" s="368"/>
      <c r="BF8" s="368"/>
      <c r="BS8" s="368"/>
      <c r="BT8" s="368"/>
      <c r="BU8" s="368"/>
      <c r="BV8" s="368"/>
      <c r="BW8" s="368"/>
      <c r="CE8" s="368"/>
      <c r="CF8" s="368"/>
      <c r="CG8" s="368"/>
      <c r="CH8" s="368">
        <f>+'ITAR_K Gesamtansicht'!CH8</f>
        <v>0</v>
      </c>
      <c r="CI8" s="368">
        <f>+'ITAR_K Gesamtansicht'!CI8</f>
        <v>0</v>
      </c>
    </row>
    <row r="9" spans="1:87">
      <c r="A9" s="110">
        <f>'ITAR_K Gesamtansicht'!A9</f>
        <v>38</v>
      </c>
      <c r="B9" s="166" t="str">
        <f>'ITAR_K Gesamtansicht'!B9</f>
        <v>Honorare (sozialversicherungspflichtig)</v>
      </c>
      <c r="C9" s="347">
        <f>+'ITAR_K Gesamtansicht'!C9</f>
        <v>0</v>
      </c>
      <c r="D9" s="345">
        <f>+'ITAR_K Gesamtansicht'!D9</f>
        <v>0</v>
      </c>
      <c r="E9" s="346">
        <f>+'ITAR_K Gesamtansicht'!E9</f>
        <v>0</v>
      </c>
      <c r="F9" s="369">
        <f>+'ITAR_K Gesamtansicht'!F9</f>
        <v>0</v>
      </c>
      <c r="G9" s="369">
        <f>+'ITAR_K Gesamtansicht'!G9</f>
        <v>0</v>
      </c>
      <c r="H9" s="369">
        <f>+'ITAR_K Gesamtansicht'!H9</f>
        <v>0</v>
      </c>
      <c r="R9" s="368">
        <f>+'ITAR_K Gesamtansicht'!R9</f>
        <v>0</v>
      </c>
      <c r="BF9" s="368">
        <f>+'ITAR_K Gesamtansicht'!BF9</f>
        <v>0</v>
      </c>
      <c r="BS9" s="368">
        <f>+'ITAR_K Gesamtansicht'!BS9</f>
        <v>0</v>
      </c>
      <c r="BT9" s="368">
        <f>+'ITAR_K Gesamtansicht'!BT9</f>
        <v>0</v>
      </c>
      <c r="BU9" s="368">
        <f>+'ITAR_K Gesamtansicht'!BU9</f>
        <v>0</v>
      </c>
      <c r="BV9" s="368">
        <f>+'ITAR_K Gesamtansicht'!BV9</f>
        <v>0</v>
      </c>
      <c r="BW9" s="368">
        <f>'ITAR_K Gesamtansicht'!BW9</f>
        <v>0</v>
      </c>
      <c r="CE9" s="368">
        <f>+'ITAR_K Gesamtansicht'!CE9</f>
        <v>0</v>
      </c>
      <c r="CF9" s="368">
        <f>+'ITAR_K Gesamtansicht'!CF9</f>
        <v>0</v>
      </c>
      <c r="CG9" s="368">
        <f>+'ITAR_K Gesamtansicht'!CG9</f>
        <v>0</v>
      </c>
      <c r="CH9" s="368">
        <f>+'ITAR_K Gesamtansicht'!CH9</f>
        <v>0</v>
      </c>
      <c r="CI9" s="368">
        <f>+'ITAR_K Gesamtansicht'!CI9</f>
        <v>0</v>
      </c>
    </row>
    <row r="10" spans="1:87">
      <c r="A10" s="110">
        <f>'ITAR_K Gesamtansicht'!A10</f>
        <v>40</v>
      </c>
      <c r="B10" s="94" t="str">
        <f>'ITAR_K Gesamtansicht'!B10</f>
        <v>Medizinischer Bedarf</v>
      </c>
      <c r="C10" s="348">
        <f>+'ITAR_K Gesamtansicht'!C10</f>
        <v>0</v>
      </c>
      <c r="D10" s="349">
        <f>+'ITAR_K Gesamtansicht'!D10</f>
        <v>0</v>
      </c>
      <c r="E10" s="346">
        <f>+'ITAR_K Gesamtansicht'!E10</f>
        <v>0</v>
      </c>
      <c r="F10" s="369">
        <f>+'ITAR_K Gesamtansicht'!F10</f>
        <v>0</v>
      </c>
      <c r="G10" s="369">
        <f>+'ITAR_K Gesamtansicht'!G10</f>
        <v>0</v>
      </c>
      <c r="H10" s="369">
        <f>+'ITAR_K Gesamtansicht'!H10</f>
        <v>0</v>
      </c>
      <c r="R10" s="368">
        <f>+'ITAR_K Gesamtansicht'!R10</f>
        <v>0</v>
      </c>
      <c r="BF10" s="569">
        <f>+'ITAR_K Gesamtansicht'!BF10</f>
        <v>0</v>
      </c>
      <c r="BS10" s="569">
        <f>+'ITAR_K Gesamtansicht'!BS10</f>
        <v>0</v>
      </c>
      <c r="BT10" s="569">
        <f>+'ITAR_K Gesamtansicht'!BT10</f>
        <v>0</v>
      </c>
      <c r="BU10" s="569">
        <f>+'ITAR_K Gesamtansicht'!BU10</f>
        <v>0</v>
      </c>
      <c r="BV10" s="569">
        <f>+'ITAR_K Gesamtansicht'!BV10</f>
        <v>0</v>
      </c>
      <c r="BW10" s="569">
        <f>'ITAR_K Gesamtansicht'!BW10</f>
        <v>0</v>
      </c>
      <c r="CE10" s="569">
        <f>+'ITAR_K Gesamtansicht'!CE10</f>
        <v>0</v>
      </c>
      <c r="CF10" s="569">
        <f>+'ITAR_K Gesamtansicht'!CF10</f>
        <v>0</v>
      </c>
      <c r="CG10" s="569">
        <f>+'ITAR_K Gesamtansicht'!CG10</f>
        <v>0</v>
      </c>
      <c r="CH10" s="569">
        <f>+'ITAR_K Gesamtansicht'!CH10</f>
        <v>0</v>
      </c>
      <c r="CI10" s="569">
        <f>+'ITAR_K Gesamtansicht'!CI10</f>
        <v>0</v>
      </c>
    </row>
    <row r="11" spans="1:87">
      <c r="A11" s="110" t="str">
        <f>'ITAR_K Gesamtansicht'!A11</f>
        <v xml:space="preserve">41 - 49 </v>
      </c>
      <c r="B11" s="94" t="str">
        <f>'ITAR_K Gesamtansicht'!B11</f>
        <v>Sachaufwand exkl. Anlagenutzungskosten</v>
      </c>
      <c r="C11" s="348">
        <f>+'ITAR_K Gesamtansicht'!C11</f>
        <v>0</v>
      </c>
      <c r="D11" s="350">
        <f>+'ITAR_K Gesamtansicht'!D11</f>
        <v>0</v>
      </c>
      <c r="E11" s="346">
        <f>+'ITAR_K Gesamtansicht'!E11</f>
        <v>0</v>
      </c>
      <c r="F11" s="369">
        <f>+'ITAR_K Gesamtansicht'!F11</f>
        <v>0</v>
      </c>
      <c r="G11" s="369">
        <f>+'ITAR_K Gesamtansicht'!G11</f>
        <v>0</v>
      </c>
      <c r="H11" s="369">
        <f>+'ITAR_K Gesamtansicht'!H11</f>
        <v>0</v>
      </c>
      <c r="R11" s="368">
        <f>+'ITAR_K Gesamtansicht'!R11</f>
        <v>0</v>
      </c>
      <c r="BF11" s="569">
        <f>+'ITAR_K Gesamtansicht'!BF11</f>
        <v>0</v>
      </c>
      <c r="BS11" s="569">
        <f>+'ITAR_K Gesamtansicht'!BS11</f>
        <v>0</v>
      </c>
      <c r="BT11" s="569">
        <f>+'ITAR_K Gesamtansicht'!BT11</f>
        <v>0</v>
      </c>
      <c r="BU11" s="569">
        <f>+'ITAR_K Gesamtansicht'!BU11</f>
        <v>0</v>
      </c>
      <c r="BV11" s="569">
        <f>+'ITAR_K Gesamtansicht'!BV11</f>
        <v>0</v>
      </c>
      <c r="BW11" s="569">
        <f>'ITAR_K Gesamtansicht'!BW11</f>
        <v>0</v>
      </c>
      <c r="CE11" s="569">
        <f>+'ITAR_K Gesamtansicht'!CE11</f>
        <v>0</v>
      </c>
      <c r="CF11" s="569">
        <f>+'ITAR_K Gesamtansicht'!CF11</f>
        <v>0</v>
      </c>
      <c r="CG11" s="569">
        <f>+'ITAR_K Gesamtansicht'!CG11</f>
        <v>0</v>
      </c>
      <c r="CH11" s="569">
        <f>+'ITAR_K Gesamtansicht'!CH11</f>
        <v>0</v>
      </c>
      <c r="CI11" s="569">
        <f>+'ITAR_K Gesamtansicht'!CI11</f>
        <v>0</v>
      </c>
    </row>
    <row r="12" spans="1:87">
      <c r="A12" s="110">
        <f>'ITAR_K Gesamtansicht'!A12</f>
        <v>44</v>
      </c>
      <c r="B12" s="94" t="str">
        <f>'ITAR_K Gesamtansicht'!B12</f>
        <v>Anlagenutzungskosten (exkl. Inv. &lt; CHF 10'000)</v>
      </c>
      <c r="C12" s="348">
        <f>+'ITAR_K Gesamtansicht'!C12</f>
        <v>0</v>
      </c>
      <c r="D12" s="351">
        <f>+'ITAR_K Gesamtansicht'!D12</f>
        <v>0</v>
      </c>
      <c r="E12" s="346">
        <f>+'ITAR_K Gesamtansicht'!E12</f>
        <v>0</v>
      </c>
      <c r="F12" s="369">
        <f>+'ITAR_K Gesamtansicht'!F12</f>
        <v>0</v>
      </c>
      <c r="G12" s="369">
        <f>+'ITAR_K Gesamtansicht'!G12</f>
        <v>0</v>
      </c>
      <c r="H12" s="369">
        <f>+'ITAR_K Gesamtansicht'!H12</f>
        <v>0</v>
      </c>
      <c r="R12" s="368">
        <f>+'ITAR_K Gesamtansicht'!R12</f>
        <v>0</v>
      </c>
      <c r="BF12" s="569">
        <f>+'ITAR_K Gesamtansicht'!BF12</f>
        <v>0</v>
      </c>
      <c r="BS12" s="569">
        <f>+'ITAR_K Gesamtansicht'!BS12</f>
        <v>0</v>
      </c>
      <c r="BT12" s="569">
        <f>+'ITAR_K Gesamtansicht'!BT12</f>
        <v>0</v>
      </c>
      <c r="BU12" s="569">
        <f>+'ITAR_K Gesamtansicht'!BU12</f>
        <v>0</v>
      </c>
      <c r="BV12" s="569">
        <f>+'ITAR_K Gesamtansicht'!BV12</f>
        <v>0</v>
      </c>
      <c r="BW12" s="569">
        <f>'ITAR_K Gesamtansicht'!BW12</f>
        <v>0</v>
      </c>
      <c r="CE12" s="569">
        <f>+'ITAR_K Gesamtansicht'!CE12</f>
        <v>0</v>
      </c>
      <c r="CF12" s="569">
        <f>+'ITAR_K Gesamtansicht'!CF12</f>
        <v>0</v>
      </c>
      <c r="CG12" s="569">
        <f>+'ITAR_K Gesamtansicht'!CG12</f>
        <v>0</v>
      </c>
      <c r="CH12" s="569">
        <f>+'ITAR_K Gesamtansicht'!CH12</f>
        <v>0</v>
      </c>
      <c r="CI12" s="569">
        <f>+'ITAR_K Gesamtansicht'!CI12</f>
        <v>0</v>
      </c>
    </row>
    <row r="13" spans="1:87">
      <c r="A13" s="110">
        <f>'ITAR_K Gesamtansicht'!A13</f>
        <v>46</v>
      </c>
      <c r="B13" s="94" t="str">
        <f>'ITAR_K Gesamtansicht'!B13</f>
        <v>Zinsaufwand</v>
      </c>
      <c r="C13" s="348">
        <f>+'ITAR_K Gesamtansicht'!C13</f>
        <v>0</v>
      </c>
      <c r="D13" s="351">
        <f>+'ITAR_K Gesamtansicht'!D13</f>
        <v>0</v>
      </c>
      <c r="E13" s="346">
        <f>+'ITAR_K Gesamtansicht'!E13</f>
        <v>0</v>
      </c>
      <c r="F13" s="369">
        <f>+'ITAR_K Gesamtansicht'!F13</f>
        <v>0</v>
      </c>
      <c r="G13" s="369">
        <f>+'ITAR_K Gesamtansicht'!G13</f>
        <v>0</v>
      </c>
      <c r="H13" s="369">
        <f>+'ITAR_K Gesamtansicht'!H13</f>
        <v>0</v>
      </c>
      <c r="R13" s="368">
        <f>+'ITAR_K Gesamtansicht'!R13</f>
        <v>0</v>
      </c>
      <c r="BF13" s="569">
        <f>+'ITAR_K Gesamtansicht'!BF13</f>
        <v>0</v>
      </c>
      <c r="BS13" s="569">
        <f>+'ITAR_K Gesamtansicht'!BS13</f>
        <v>0</v>
      </c>
      <c r="BT13" s="569">
        <f>+'ITAR_K Gesamtansicht'!BT13</f>
        <v>0</v>
      </c>
      <c r="BU13" s="569">
        <f>+'ITAR_K Gesamtansicht'!BU13</f>
        <v>0</v>
      </c>
      <c r="BV13" s="569">
        <f>+'ITAR_K Gesamtansicht'!BV13</f>
        <v>0</v>
      </c>
      <c r="BW13" s="569">
        <f>'ITAR_K Gesamtansicht'!BW13</f>
        <v>0</v>
      </c>
      <c r="CE13" s="569">
        <f>+'ITAR_K Gesamtansicht'!CE13</f>
        <v>0</v>
      </c>
      <c r="CF13" s="569">
        <f>+'ITAR_K Gesamtansicht'!CF13</f>
        <v>0</v>
      </c>
      <c r="CG13" s="569">
        <f>+'ITAR_K Gesamtansicht'!CG13</f>
        <v>0</v>
      </c>
      <c r="CH13" s="569">
        <f>+'ITAR_K Gesamtansicht'!CH13</f>
        <v>0</v>
      </c>
      <c r="CI13" s="569">
        <f>+'ITAR_K Gesamtansicht'!CI13</f>
        <v>0</v>
      </c>
    </row>
    <row r="14" spans="1:87">
      <c r="A14" s="110">
        <f>'ITAR_K Gesamtansicht'!A14</f>
        <v>7</v>
      </c>
      <c r="B14" s="94" t="str">
        <f>'ITAR_K Gesamtansicht'!B14</f>
        <v>a.o. Aufwand</v>
      </c>
      <c r="C14" s="348">
        <f>+'ITAR_K Gesamtansicht'!C14</f>
        <v>0</v>
      </c>
      <c r="D14" s="351">
        <f>+'ITAR_K Gesamtansicht'!D14</f>
        <v>0</v>
      </c>
      <c r="E14" s="346">
        <f>+'ITAR_K Gesamtansicht'!E14</f>
        <v>0</v>
      </c>
      <c r="F14" s="369">
        <f>+'ITAR_K Gesamtansicht'!F14</f>
        <v>0</v>
      </c>
      <c r="G14" s="369">
        <f>+'ITAR_K Gesamtansicht'!G14</f>
        <v>0</v>
      </c>
      <c r="H14" s="369">
        <f>+'ITAR_K Gesamtansicht'!H14</f>
        <v>0</v>
      </c>
      <c r="R14" s="368">
        <f>+'ITAR_K Gesamtansicht'!R14</f>
        <v>0</v>
      </c>
      <c r="BF14" s="569">
        <f>+'ITAR_K Gesamtansicht'!BF14</f>
        <v>0</v>
      </c>
      <c r="BS14" s="569">
        <f>+'ITAR_K Gesamtansicht'!BS14</f>
        <v>0</v>
      </c>
      <c r="BT14" s="569">
        <f>+'ITAR_K Gesamtansicht'!BT14</f>
        <v>0</v>
      </c>
      <c r="BU14" s="569">
        <f>+'ITAR_K Gesamtansicht'!BU14</f>
        <v>0</v>
      </c>
      <c r="BV14" s="569">
        <f>+'ITAR_K Gesamtansicht'!BV14</f>
        <v>0</v>
      </c>
      <c r="BW14" s="569">
        <f>'ITAR_K Gesamtansicht'!BW14</f>
        <v>0</v>
      </c>
      <c r="CE14" s="569">
        <f>+'ITAR_K Gesamtansicht'!CE14</f>
        <v>0</v>
      </c>
      <c r="CF14" s="569">
        <f>+'ITAR_K Gesamtansicht'!CF14</f>
        <v>0</v>
      </c>
      <c r="CG14" s="569">
        <f>+'ITAR_K Gesamtansicht'!CG14</f>
        <v>0</v>
      </c>
      <c r="CH14" s="569">
        <f>+'ITAR_K Gesamtansicht'!CH14</f>
        <v>0</v>
      </c>
      <c r="CI14" s="569">
        <f>+'ITAR_K Gesamtansicht'!CI14</f>
        <v>0</v>
      </c>
    </row>
    <row r="15" spans="1:87">
      <c r="A15" s="110"/>
      <c r="B15" s="105" t="str">
        <f>'ITAR_K Gesamtansicht'!B15</f>
        <v>Aufwand gem. Jahresrechnung</v>
      </c>
      <c r="C15" s="896">
        <f>+'ITAR_K Gesamtansicht'!C15</f>
        <v>0</v>
      </c>
      <c r="D15" s="897">
        <f>+'ITAR_K Gesamtansicht'!D15</f>
        <v>0</v>
      </c>
      <c r="E15" s="896">
        <f>+'ITAR_K Gesamtansicht'!E15</f>
        <v>0</v>
      </c>
      <c r="F15" s="361">
        <f>+'ITAR_K Gesamtansicht'!F15</f>
        <v>0</v>
      </c>
      <c r="G15" s="361">
        <f>+'ITAR_K Gesamtansicht'!G15</f>
        <v>0</v>
      </c>
      <c r="H15" s="361">
        <f>+'ITAR_K Gesamtansicht'!H15</f>
        <v>0</v>
      </c>
      <c r="R15" s="602">
        <f>+'ITAR_K Gesamtansicht'!R15</f>
        <v>0</v>
      </c>
      <c r="BF15" s="602">
        <f>+'ITAR_K Gesamtansicht'!BF15</f>
        <v>0</v>
      </c>
      <c r="BS15" s="602">
        <f>+'ITAR_K Gesamtansicht'!BS15</f>
        <v>0</v>
      </c>
      <c r="BT15" s="602">
        <f>+'ITAR_K Gesamtansicht'!BT15</f>
        <v>0</v>
      </c>
      <c r="BU15" s="602">
        <f>+'ITAR_K Gesamtansicht'!BU15</f>
        <v>0</v>
      </c>
      <c r="BV15" s="602">
        <f>+'ITAR_K Gesamtansicht'!BV15</f>
        <v>0</v>
      </c>
      <c r="BW15" s="602">
        <f>'ITAR_K Gesamtansicht'!BW15</f>
        <v>0</v>
      </c>
      <c r="CE15" s="602">
        <f>+'ITAR_K Gesamtansicht'!CE15</f>
        <v>0</v>
      </c>
      <c r="CF15" s="602">
        <f>+'ITAR_K Gesamtansicht'!CF15</f>
        <v>0</v>
      </c>
      <c r="CG15" s="602">
        <f>+'ITAR_K Gesamtansicht'!CG15</f>
        <v>0</v>
      </c>
      <c r="CH15" s="602">
        <f>+'ITAR_K Gesamtansicht'!CH15</f>
        <v>0</v>
      </c>
      <c r="CI15" s="602">
        <f>+'ITAR_K Gesamtansicht'!CI15</f>
        <v>0</v>
      </c>
    </row>
    <row r="16" spans="1:87">
      <c r="A16" s="110" t="str">
        <f>'ITAR_K Gesamtansicht'!A16</f>
        <v>66/68</v>
      </c>
      <c r="B16" s="178" t="str">
        <f>'ITAR_K Gesamtansicht'!B16</f>
        <v>./. Erlöse 66/68 als Kostenminderung einbezogen</v>
      </c>
      <c r="C16" s="353"/>
      <c r="D16" s="104"/>
      <c r="E16" s="104">
        <f>+'ITAR_K Gesamtansicht'!E16</f>
        <v>0</v>
      </c>
      <c r="F16" s="379">
        <f>+'ITAR_K Gesamtansicht'!F16</f>
        <v>0</v>
      </c>
      <c r="G16" s="379">
        <f>+'ITAR_K Gesamtansicht'!G16</f>
        <v>0</v>
      </c>
      <c r="H16" s="379">
        <f>+'ITAR_K Gesamtansicht'!H16</f>
        <v>0</v>
      </c>
      <c r="R16" s="368">
        <f>+'ITAR_K Gesamtansicht'!R16</f>
        <v>0</v>
      </c>
      <c r="BF16" s="572">
        <f>+'ITAR_K Gesamtansicht'!BF16</f>
        <v>0</v>
      </c>
      <c r="BS16" s="572">
        <f>+'ITAR_K Gesamtansicht'!BS16</f>
        <v>0</v>
      </c>
      <c r="BT16" s="572">
        <f>+'ITAR_K Gesamtansicht'!BT16</f>
        <v>0</v>
      </c>
      <c r="BU16" s="572">
        <f>+'ITAR_K Gesamtansicht'!BU16</f>
        <v>0</v>
      </c>
      <c r="BV16" s="572">
        <f>+'ITAR_K Gesamtansicht'!BV16</f>
        <v>0</v>
      </c>
      <c r="BW16" s="572">
        <f>'ITAR_K Gesamtansicht'!BW16</f>
        <v>0</v>
      </c>
      <c r="CE16" s="572">
        <f>+'ITAR_K Gesamtansicht'!CE16</f>
        <v>0</v>
      </c>
      <c r="CF16" s="572">
        <f>+'ITAR_K Gesamtansicht'!CF16</f>
        <v>0</v>
      </c>
      <c r="CG16" s="572">
        <f>+'ITAR_K Gesamtansicht'!CG16</f>
        <v>0</v>
      </c>
      <c r="CH16" s="572">
        <f>+'ITAR_K Gesamtansicht'!CH16</f>
        <v>0</v>
      </c>
      <c r="CI16" s="572">
        <f>+'ITAR_K Gesamtansicht'!CI16</f>
        <v>0</v>
      </c>
    </row>
    <row r="17" spans="1:87">
      <c r="A17" s="110"/>
      <c r="B17" s="106" t="str">
        <f>'ITAR_K Gesamtansicht'!B17</f>
        <v>Direkte Kosten</v>
      </c>
      <c r="C17" s="3"/>
      <c r="D17" s="4">
        <f>+'ITAR_K Gesamtansicht'!D17</f>
        <v>0</v>
      </c>
      <c r="E17" s="4">
        <f>+'ITAR_K Gesamtansicht'!E17</f>
        <v>0</v>
      </c>
      <c r="F17" s="378">
        <f>+'ITAR_K Gesamtansicht'!F17</f>
        <v>0</v>
      </c>
      <c r="G17" s="378">
        <f>+'ITAR_K Gesamtansicht'!G17</f>
        <v>0</v>
      </c>
      <c r="H17" s="378">
        <f>+'ITAR_K Gesamtansicht'!H17</f>
        <v>0</v>
      </c>
      <c r="R17" s="366">
        <f>+'ITAR_K Gesamtansicht'!R17</f>
        <v>0</v>
      </c>
      <c r="BF17" s="366">
        <f>+'ITAR_K Gesamtansicht'!BF17</f>
        <v>0</v>
      </c>
      <c r="BS17" s="366">
        <f>+'ITAR_K Gesamtansicht'!BS17</f>
        <v>0</v>
      </c>
      <c r="BT17" s="366">
        <f>+'ITAR_K Gesamtansicht'!BT17</f>
        <v>0</v>
      </c>
      <c r="BU17" s="366">
        <f>+'ITAR_K Gesamtansicht'!BU17</f>
        <v>0</v>
      </c>
      <c r="BV17" s="366">
        <f>+'ITAR_K Gesamtansicht'!BV17</f>
        <v>0</v>
      </c>
      <c r="BW17" s="366">
        <f>'ITAR_K Gesamtansicht'!BW17</f>
        <v>0</v>
      </c>
      <c r="CE17" s="366">
        <f>+'ITAR_K Gesamtansicht'!CE17</f>
        <v>0</v>
      </c>
      <c r="CF17" s="366">
        <f>+'ITAR_K Gesamtansicht'!CF17</f>
        <v>0</v>
      </c>
      <c r="CG17" s="366">
        <f>+'ITAR_K Gesamtansicht'!CG17</f>
        <v>0</v>
      </c>
      <c r="CH17" s="366">
        <f>+'ITAR_K Gesamtansicht'!CH17</f>
        <v>0</v>
      </c>
      <c r="CI17" s="366">
        <f>+'ITAR_K Gesamtansicht'!CI17</f>
        <v>0</v>
      </c>
    </row>
    <row r="18" spans="1:87" s="13" customFormat="1">
      <c r="A18" s="115" t="str">
        <f>'ITAR_K Gesamtansicht'!A18</f>
        <v>ILV</v>
      </c>
      <c r="B18" s="107" t="str">
        <f>'ITAR_K Gesamtansicht'!B18</f>
        <v>Interne Leistungsverrechnung</v>
      </c>
      <c r="C18" s="5"/>
      <c r="D18" s="6"/>
      <c r="E18" s="6"/>
      <c r="F18" s="367">
        <f>+'ITAR_K Gesamtansicht'!F18</f>
        <v>0</v>
      </c>
      <c r="G18" s="367">
        <f>+'ITAR_K Gesamtansicht'!G18</f>
        <v>0</v>
      </c>
      <c r="H18" s="367">
        <f>+'ITAR_K Gesamtansicht'!H18</f>
        <v>0</v>
      </c>
      <c r="R18" s="368">
        <f>+'ITAR_K Gesamtansicht'!R18</f>
        <v>0</v>
      </c>
      <c r="BF18" s="367">
        <f>+'ITAR_K Gesamtansicht'!BF18</f>
        <v>0</v>
      </c>
      <c r="BS18" s="367">
        <f>+'ITAR_K Gesamtansicht'!BS18</f>
        <v>0</v>
      </c>
      <c r="BT18" s="367">
        <f>+'ITAR_K Gesamtansicht'!BT18</f>
        <v>0</v>
      </c>
      <c r="BU18" s="367">
        <f>+'ITAR_K Gesamtansicht'!BU18</f>
        <v>0</v>
      </c>
      <c r="BV18" s="367">
        <f>+'ITAR_K Gesamtansicht'!BV18</f>
        <v>0</v>
      </c>
      <c r="BW18" s="367">
        <f>'ITAR_K Gesamtansicht'!BW18</f>
        <v>0</v>
      </c>
      <c r="CE18" s="367">
        <f>+'ITAR_K Gesamtansicht'!CE18</f>
        <v>0</v>
      </c>
      <c r="CF18" s="367">
        <f>+'ITAR_K Gesamtansicht'!CF18</f>
        <v>0</v>
      </c>
      <c r="CG18" s="367">
        <f>+'ITAR_K Gesamtansicht'!CG18</f>
        <v>0</v>
      </c>
      <c r="CH18" s="367">
        <f>+'ITAR_K Gesamtansicht'!CH18</f>
        <v>0</v>
      </c>
      <c r="CI18" s="367">
        <f>+'ITAR_K Gesamtansicht'!CI18</f>
        <v>0</v>
      </c>
    </row>
    <row r="19" spans="1:87" s="13" customFormat="1">
      <c r="A19" s="115"/>
      <c r="B19" s="106" t="str">
        <f>'ITAR_K Gesamtansicht'!B19</f>
        <v>Total Kosten gemäss BeBu</v>
      </c>
      <c r="C19" s="3"/>
      <c r="D19" s="4"/>
      <c r="E19" s="4"/>
      <c r="F19" s="378">
        <f>+'ITAR_K Gesamtansicht'!F19</f>
        <v>0</v>
      </c>
      <c r="G19" s="378">
        <f>+'ITAR_K Gesamtansicht'!G19</f>
        <v>0</v>
      </c>
      <c r="H19" s="378">
        <f>+'ITAR_K Gesamtansicht'!H19</f>
        <v>0</v>
      </c>
      <c r="R19" s="366">
        <f>+'ITAR_K Gesamtansicht'!R19</f>
        <v>0</v>
      </c>
      <c r="BF19" s="366">
        <f>+'ITAR_K Gesamtansicht'!BF19</f>
        <v>0</v>
      </c>
      <c r="BS19" s="366">
        <f>+'ITAR_K Gesamtansicht'!BS19</f>
        <v>0</v>
      </c>
      <c r="BT19" s="366">
        <f>+'ITAR_K Gesamtansicht'!BT19</f>
        <v>0</v>
      </c>
      <c r="BU19" s="366">
        <f>+'ITAR_K Gesamtansicht'!BU19</f>
        <v>0</v>
      </c>
      <c r="BV19" s="366">
        <f>+'ITAR_K Gesamtansicht'!BV19</f>
        <v>0</v>
      </c>
      <c r="BW19" s="366">
        <f>'ITAR_K Gesamtansicht'!BW19</f>
        <v>0</v>
      </c>
      <c r="CE19" s="366">
        <f>+'ITAR_K Gesamtansicht'!CE19</f>
        <v>0</v>
      </c>
      <c r="CF19" s="366">
        <f>+'ITAR_K Gesamtansicht'!CF19</f>
        <v>0</v>
      </c>
      <c r="CG19" s="366">
        <f>+'ITAR_K Gesamtansicht'!CG19</f>
        <v>0</v>
      </c>
      <c r="CH19" s="366">
        <f>+'ITAR_K Gesamtansicht'!CH19</f>
        <v>0</v>
      </c>
      <c r="CI19" s="366">
        <f>+'ITAR_K Gesamtansicht'!CI19</f>
        <v>0</v>
      </c>
    </row>
    <row r="20" spans="1:87" s="102" customFormat="1">
      <c r="A20" s="111" t="str">
        <f>'ITAR_K Gesamtansicht'!A20</f>
        <v>38/405</v>
      </c>
      <c r="B20" s="107" t="str">
        <f>'ITAR_K Gesamtansicht'!B20</f>
        <v>./. Arzthonorare für zusatzversicherte Patienten</v>
      </c>
      <c r="C20" s="103"/>
      <c r="D20" s="104"/>
      <c r="E20" s="104"/>
      <c r="F20" s="369">
        <f>+'ITAR_K Gesamtansicht'!F20</f>
        <v>0</v>
      </c>
      <c r="G20" s="369">
        <f>+'ITAR_K Gesamtansicht'!G20</f>
        <v>0</v>
      </c>
      <c r="H20" s="369">
        <f>+'ITAR_K Gesamtansicht'!H20</f>
        <v>0</v>
      </c>
      <c r="R20" s="368"/>
      <c r="BF20" s="367"/>
      <c r="BS20" s="368"/>
      <c r="BT20" s="367"/>
      <c r="BU20" s="367"/>
      <c r="BV20" s="367"/>
      <c r="BW20" s="249"/>
      <c r="CE20" s="367">
        <f>+'ITAR_K Gesamtansicht'!CE20</f>
        <v>0</v>
      </c>
      <c r="CF20" s="367"/>
      <c r="CG20" s="367"/>
      <c r="CH20" s="367"/>
      <c r="CI20" s="249"/>
    </row>
    <row r="21" spans="1:87">
      <c r="A21" s="110">
        <f>'ITAR_K Gesamtansicht'!A21</f>
        <v>44</v>
      </c>
      <c r="B21" s="94" t="str">
        <f>'ITAR_K Gesamtansicht'!B21</f>
        <v>./. Anlagenutzungskosten (ANK = kalk. Zinsen AV, kalk. Abschreibungen, Mieten für Objekte&gt; CHF 10'000) nach REKOLE</v>
      </c>
      <c r="C21" s="353"/>
      <c r="D21" s="104"/>
      <c r="E21" s="104"/>
      <c r="F21" s="369">
        <f>+'ITAR_K Gesamtansicht'!F21</f>
        <v>0</v>
      </c>
      <c r="G21" s="369">
        <f>+'ITAR_K Gesamtansicht'!G21</f>
        <v>0</v>
      </c>
      <c r="H21" s="369">
        <f>+'ITAR_K Gesamtansicht'!H21</f>
        <v>0</v>
      </c>
      <c r="R21" s="368"/>
      <c r="BF21" s="367"/>
      <c r="BS21" s="368"/>
      <c r="BT21" s="367"/>
      <c r="BU21" s="367"/>
      <c r="BV21" s="367"/>
      <c r="BW21" s="249"/>
      <c r="CE21" s="367">
        <f>+'ITAR_K Gesamtansicht'!CE21</f>
        <v>0</v>
      </c>
      <c r="CF21" s="367"/>
      <c r="CG21" s="367"/>
      <c r="CH21" s="367"/>
      <c r="CI21" s="249"/>
    </row>
    <row r="22" spans="1:87" s="28" customFormat="1">
      <c r="A22" s="113">
        <f>'ITAR_K Gesamtansicht'!A22</f>
        <v>65</v>
      </c>
      <c r="B22" s="107" t="str">
        <f>'ITAR_K Gesamtansicht'!B22</f>
        <v>./. Erlöse Kt.gr. 65, exkl. Marge</v>
      </c>
      <c r="C22" s="103"/>
      <c r="D22" s="354"/>
      <c r="E22" s="104"/>
      <c r="F22" s="369">
        <f>+'ITAR_K Gesamtansicht'!F22</f>
        <v>0</v>
      </c>
      <c r="G22" s="369">
        <f>+'ITAR_K Gesamtansicht'!G22</f>
        <v>0</v>
      </c>
      <c r="H22" s="369">
        <f>+'ITAR_K Gesamtansicht'!H22</f>
        <v>0</v>
      </c>
      <c r="R22" s="368"/>
      <c r="BF22" s="369"/>
      <c r="BS22" s="368"/>
      <c r="BT22" s="367"/>
      <c r="BU22" s="367"/>
      <c r="BV22" s="367"/>
      <c r="BW22" s="249"/>
      <c r="CE22" s="367">
        <f>+'ITAR_K Gesamtansicht'!CE22</f>
        <v>0</v>
      </c>
      <c r="CF22" s="367"/>
      <c r="CG22" s="367"/>
      <c r="CH22" s="367"/>
      <c r="CI22" s="249"/>
    </row>
    <row r="23" spans="1:87" s="28" customFormat="1">
      <c r="A23" s="113">
        <f>'ITAR_K Gesamtansicht'!A23</f>
        <v>66</v>
      </c>
      <c r="B23" s="108" t="str">
        <f>'ITAR_K Gesamtansicht'!B23</f>
        <v>+ Erlöse Kt.gr. 66 (sofern kostenmindernd in KST geführt)</v>
      </c>
      <c r="C23" s="103">
        <f>+'ITAR_K Gesamtansicht'!C23</f>
        <v>0</v>
      </c>
      <c r="D23" s="104"/>
      <c r="E23" s="104" t="e">
        <f>+'ITAR_K Gesamtansicht'!E23</f>
        <v>#DIV/0!</v>
      </c>
      <c r="F23" s="367">
        <f>+'ITAR_K Gesamtansicht'!F23</f>
        <v>0</v>
      </c>
      <c r="G23" s="367">
        <f>+'ITAR_K Gesamtansicht'!G23</f>
        <v>0</v>
      </c>
      <c r="H23" s="367">
        <f>+'ITAR_K Gesamtansicht'!H23</f>
        <v>0</v>
      </c>
      <c r="R23" s="368"/>
      <c r="BF23" s="367"/>
      <c r="BS23" s="368"/>
      <c r="BT23" s="367"/>
      <c r="BU23" s="367"/>
      <c r="BV23" s="367"/>
      <c r="BW23" s="249"/>
      <c r="CE23" s="367" t="e">
        <f>+'ITAR_K Gesamtansicht'!CE23</f>
        <v>#DIV/0!</v>
      </c>
      <c r="CF23" s="367"/>
      <c r="CG23" s="367"/>
      <c r="CH23" s="367"/>
      <c r="CI23" s="249"/>
    </row>
    <row r="24" spans="1:87">
      <c r="A24" s="110"/>
      <c r="B24" s="106" t="str">
        <f>'ITAR_K Gesamtansicht'!B24</f>
        <v>Nettobetriebskosten I (NBK I)</v>
      </c>
      <c r="C24" s="3"/>
      <c r="D24" s="4"/>
      <c r="E24" s="4"/>
      <c r="F24" s="378">
        <f>+'ITAR_K Gesamtansicht'!F24</f>
        <v>0</v>
      </c>
      <c r="G24" s="378">
        <f>+'ITAR_K Gesamtansicht'!G24</f>
        <v>0</v>
      </c>
      <c r="H24" s="378">
        <f>+'ITAR_K Gesamtansicht'!H24</f>
        <v>0</v>
      </c>
      <c r="R24" s="378"/>
      <c r="BF24" s="378"/>
      <c r="BS24" s="378"/>
      <c r="BT24" s="378"/>
      <c r="BU24" s="378"/>
      <c r="BV24" s="378"/>
      <c r="BW24" s="378"/>
      <c r="CE24" s="378" t="e">
        <f>+'ITAR_K Gesamtansicht'!CE24</f>
        <v>#DIV/0!</v>
      </c>
      <c r="CF24" s="370"/>
      <c r="CG24" s="378"/>
      <c r="CH24" s="378"/>
      <c r="CI24" s="378"/>
    </row>
    <row r="25" spans="1:87" s="13" customFormat="1">
      <c r="A25" s="115"/>
      <c r="B25" s="107" t="str">
        <f>'ITAR_K Gesamtansicht'!B25</f>
        <v xml:space="preserve">./. Subsidiärer Abzug: Kosten für universitäre Lehre + Forschung </v>
      </c>
      <c r="C25" s="103"/>
      <c r="D25" s="104"/>
      <c r="E25" s="104"/>
      <c r="F25" s="371">
        <f>+'ITAR_K Gesamtansicht'!F25</f>
        <v>0</v>
      </c>
      <c r="G25" s="371">
        <f>+'ITAR_K Gesamtansicht'!G25</f>
        <v>0</v>
      </c>
      <c r="H25" s="371">
        <f>+'ITAR_K Gesamtansicht'!H25</f>
        <v>0</v>
      </c>
      <c r="R25" s="368"/>
      <c r="BF25" s="369"/>
      <c r="BS25" s="368"/>
      <c r="BT25" s="367"/>
      <c r="BU25" s="367"/>
      <c r="BV25" s="367"/>
      <c r="BW25" s="249"/>
      <c r="CE25" s="367" t="e">
        <f>+'ITAR_K Gesamtansicht'!CE25</f>
        <v>#DIV/0!</v>
      </c>
      <c r="CF25" s="372"/>
      <c r="CG25" s="373"/>
      <c r="CH25" s="367"/>
      <c r="CI25" s="249"/>
    </row>
    <row r="26" spans="1:87" s="13" customFormat="1">
      <c r="A26" s="115"/>
      <c r="B26" s="107" t="str">
        <f>'ITAR_K Gesamtansicht'!B26</f>
        <v>./. Subsidiärer Abzug: Kosten für gemeinwirtschaftliche Leistungen</v>
      </c>
      <c r="C26" s="103">
        <f>+'ITAR_K Gesamtansicht'!C26</f>
        <v>0</v>
      </c>
      <c r="D26" s="104"/>
      <c r="E26" s="104" t="e">
        <f>+'ITAR_K Gesamtansicht'!E26</f>
        <v>#DIV/0!</v>
      </c>
      <c r="F26" s="371">
        <f>+'ITAR_K Gesamtansicht'!F26</f>
        <v>0</v>
      </c>
      <c r="G26" s="371">
        <f>+'ITAR_K Gesamtansicht'!G26</f>
        <v>0</v>
      </c>
      <c r="H26" s="371">
        <f>+'ITAR_K Gesamtansicht'!H26</f>
        <v>0</v>
      </c>
      <c r="R26" s="368"/>
      <c r="BF26" s="367"/>
      <c r="BS26" s="368"/>
      <c r="BT26" s="367"/>
      <c r="BU26" s="367"/>
      <c r="BV26" s="367"/>
      <c r="BW26" s="249"/>
      <c r="CE26" s="367" t="e">
        <f>+'ITAR_K Gesamtansicht'!CE26</f>
        <v>#DIV/0!</v>
      </c>
      <c r="CF26" s="372"/>
      <c r="CG26" s="373"/>
      <c r="CH26" s="367"/>
      <c r="CI26" s="249"/>
    </row>
    <row r="27" spans="1:87" s="2" customFormat="1">
      <c r="A27" s="116"/>
      <c r="B27" s="106" t="str">
        <f>'ITAR_K Gesamtansicht'!B27</f>
        <v>NBK II</v>
      </c>
      <c r="C27" s="3"/>
      <c r="D27" s="4"/>
      <c r="E27" s="4"/>
      <c r="F27" s="378">
        <f>+'ITAR_K Gesamtansicht'!F27</f>
        <v>0</v>
      </c>
      <c r="G27" s="378">
        <f>+'ITAR_K Gesamtansicht'!G27</f>
        <v>0</v>
      </c>
      <c r="H27" s="378">
        <f>+'ITAR_K Gesamtansicht'!H27</f>
        <v>0</v>
      </c>
      <c r="R27" s="378"/>
      <c r="BF27" s="378"/>
      <c r="BS27" s="378"/>
      <c r="BT27" s="378"/>
      <c r="BU27" s="378"/>
      <c r="BV27" s="378"/>
      <c r="BW27" s="378"/>
      <c r="CE27" s="378" t="e">
        <f>+'ITAR_K Gesamtansicht'!CE27</f>
        <v>#DIV/0!</v>
      </c>
      <c r="CF27" s="378"/>
      <c r="CG27" s="378"/>
      <c r="CH27" s="378"/>
      <c r="CI27" s="378"/>
    </row>
    <row r="28" spans="1:87" s="23" customFormat="1">
      <c r="A28" s="112"/>
      <c r="B28" s="107" t="str">
        <f>'ITAR_K Gesamtansicht'!B28</f>
        <v>./. Abzug für Mehrkosten aus Leistungen für zusatzversicherte Patienten</v>
      </c>
      <c r="C28" s="355"/>
      <c r="D28" s="356"/>
      <c r="E28" s="356"/>
      <c r="F28" s="369"/>
      <c r="G28" s="369"/>
      <c r="H28" s="369"/>
      <c r="R28" s="368"/>
      <c r="BF28" s="369"/>
      <c r="BS28" s="368"/>
      <c r="BT28" s="369"/>
      <c r="BU28" s="369"/>
      <c r="BV28" s="369"/>
      <c r="BW28" s="249"/>
      <c r="CE28" s="369">
        <f>+'ITAR_K Gesamtansicht'!CE28</f>
        <v>0</v>
      </c>
      <c r="CF28" s="374"/>
      <c r="CG28" s="369"/>
      <c r="CH28" s="369"/>
      <c r="CI28" s="249"/>
    </row>
    <row r="29" spans="1:87">
      <c r="A29" s="110"/>
      <c r="B29" s="107" t="str">
        <f>'ITAR_K Gesamtansicht'!B29</f>
        <v>./. Abzüge für unbewertete DRG und Zusatzentgelte SwissDRG (bewertete und unbewertete)</v>
      </c>
      <c r="C29" s="353"/>
      <c r="D29" s="356"/>
      <c r="E29" s="104"/>
      <c r="F29" s="369"/>
      <c r="G29" s="369"/>
      <c r="H29" s="369"/>
      <c r="R29" s="368"/>
      <c r="BF29" s="369"/>
      <c r="BS29" s="368"/>
      <c r="BT29" s="369"/>
      <c r="BU29" s="369"/>
      <c r="BV29" s="369"/>
      <c r="BW29" s="249"/>
      <c r="CE29" s="369">
        <f>+'ITAR_K Gesamtansicht'!CE29</f>
        <v>0</v>
      </c>
      <c r="CF29" s="374"/>
      <c r="CG29" s="369"/>
      <c r="CH29" s="369"/>
      <c r="CI29" s="249"/>
    </row>
    <row r="30" spans="1:87">
      <c r="A30" s="110"/>
      <c r="B30" s="107" t="str">
        <f>'ITAR_K Gesamtansicht'!B30</f>
        <v>+ Aufrechnung Beiträge des Kantons sofern kostenmindernd gebucht</v>
      </c>
      <c r="C30" s="895">
        <f>'ITAR_K Gesamtansicht'!C30</f>
        <v>0</v>
      </c>
      <c r="D30" s="356"/>
      <c r="E30" s="107"/>
      <c r="F30" s="369"/>
      <c r="G30" s="369"/>
      <c r="H30" s="369"/>
      <c r="R30" s="368"/>
      <c r="BF30" s="369"/>
      <c r="BS30" s="368"/>
      <c r="BT30" s="369"/>
      <c r="BU30" s="369"/>
      <c r="BV30" s="369"/>
      <c r="BW30" s="249"/>
      <c r="CE30" s="369" t="e">
        <f>+'ITAR_K Gesamtansicht'!CE30</f>
        <v>#DIV/0!</v>
      </c>
      <c r="CF30" s="374"/>
      <c r="CG30" s="369"/>
      <c r="CH30" s="369"/>
      <c r="CI30" s="249"/>
    </row>
    <row r="31" spans="1:87" s="28" customFormat="1">
      <c r="A31" s="113"/>
      <c r="B31" s="108" t="str">
        <f>'ITAR_K Gesamtansicht'!B31</f>
        <v>+ nicht sep. tarifierte Kosten, Anteil je Tarif</v>
      </c>
      <c r="C31" s="103"/>
      <c r="D31" s="356"/>
      <c r="E31" s="104"/>
      <c r="F31" s="367"/>
      <c r="G31" s="367"/>
      <c r="H31" s="367"/>
      <c r="R31" s="367"/>
      <c r="BF31" s="369"/>
      <c r="BS31" s="368"/>
      <c r="BT31" s="367"/>
      <c r="BU31" s="367"/>
      <c r="BV31" s="367"/>
      <c r="BW31" s="249"/>
      <c r="CE31" s="367">
        <f>+'ITAR_K Gesamtansicht'!CE31</f>
        <v>0</v>
      </c>
      <c r="CF31" s="251"/>
      <c r="CG31" s="367"/>
      <c r="CH31" s="367"/>
      <c r="CI31" s="249"/>
    </row>
    <row r="32" spans="1:87" s="102" customFormat="1">
      <c r="A32" s="111"/>
      <c r="B32" s="107" t="str">
        <f>'ITAR_K Gesamtansicht'!B32</f>
        <v>Verteilung der kum. Abzüge auf die amb. Tarife</v>
      </c>
      <c r="C32" s="103"/>
      <c r="D32" s="356"/>
      <c r="E32" s="104"/>
      <c r="F32" s="369"/>
      <c r="G32" s="369"/>
      <c r="H32" s="369"/>
      <c r="R32" s="367"/>
      <c r="BF32" s="369"/>
      <c r="BS32" s="368"/>
      <c r="BT32" s="399"/>
      <c r="BU32" s="399"/>
      <c r="BV32" s="399"/>
      <c r="BW32" s="249"/>
      <c r="CE32" s="399">
        <f>+'ITAR_K Gesamtansicht'!CE32</f>
        <v>0</v>
      </c>
      <c r="CF32" s="376"/>
      <c r="CG32" s="399"/>
      <c r="CH32" s="399"/>
      <c r="CI32" s="249"/>
    </row>
    <row r="33" spans="1:87" s="102" customFormat="1">
      <c r="A33" s="111"/>
      <c r="B33" s="107" t="str">
        <f>'ITAR_K Gesamtansicht'!B33</f>
        <v>Abzug der UV-Zinsen, sofern nicht nach Methode PUE</v>
      </c>
      <c r="C33" s="103"/>
      <c r="D33" s="356"/>
      <c r="E33" s="104"/>
      <c r="F33" s="369"/>
      <c r="G33" s="369"/>
      <c r="H33" s="369"/>
      <c r="R33" s="377"/>
      <c r="BF33" s="369"/>
      <c r="BS33" s="368"/>
      <c r="BT33" s="367"/>
      <c r="BU33" s="367"/>
      <c r="BV33" s="367"/>
      <c r="BW33" s="249"/>
      <c r="CE33" s="367" t="e">
        <f>+'ITAR_K Gesamtansicht'!CE33</f>
        <v>#DIV/0!</v>
      </c>
      <c r="CF33" s="251"/>
      <c r="CG33" s="367"/>
      <c r="CH33" s="367"/>
      <c r="CI33" s="249"/>
    </row>
    <row r="34" spans="1:87" s="29" customFormat="1">
      <c r="A34" s="114"/>
      <c r="B34" s="107" t="str">
        <f>'ITAR_K Gesamtansicht'!B34</f>
        <v>Zuschlag für nicht berücksichtigte Zinsen auf dem Umlaufvermögen</v>
      </c>
      <c r="C34" s="103"/>
      <c r="D34" s="104"/>
      <c r="E34" s="104"/>
      <c r="F34" s="369"/>
      <c r="G34" s="369"/>
      <c r="H34" s="369"/>
      <c r="R34" s="368"/>
      <c r="BF34" s="367"/>
      <c r="BS34" s="368"/>
      <c r="BT34" s="367"/>
      <c r="BU34" s="367"/>
      <c r="BV34" s="367"/>
      <c r="BW34" s="249"/>
      <c r="CE34" s="367" t="e">
        <f>+'ITAR_K Gesamtansicht'!CE34</f>
        <v>#DIV/0!</v>
      </c>
      <c r="CF34" s="367"/>
      <c r="CG34" s="367"/>
      <c r="CH34" s="367"/>
      <c r="CI34" s="249"/>
    </row>
    <row r="35" spans="1:87">
      <c r="A35" s="110"/>
      <c r="B35" s="106" t="str">
        <f>'ITAR_K Gesamtansicht'!B35</f>
        <v>Benchmarking-relevante Betriebskosten (BRB)</v>
      </c>
      <c r="C35" s="3"/>
      <c r="D35" s="4"/>
      <c r="E35" s="4"/>
      <c r="F35" s="378"/>
      <c r="G35" s="378"/>
      <c r="H35" s="378"/>
      <c r="R35" s="378"/>
      <c r="BF35" s="378"/>
      <c r="BS35" s="378"/>
      <c r="BT35" s="378"/>
      <c r="BU35" s="378"/>
      <c r="BV35" s="378"/>
      <c r="BW35" s="378"/>
      <c r="CE35" s="378" t="e">
        <f>+'ITAR_K Gesamtansicht'!CE35+'ITAR_K Gesamtansicht'!CD35</f>
        <v>#DIV/0!</v>
      </c>
      <c r="CF35" s="378"/>
      <c r="CG35" s="378"/>
      <c r="CH35" s="378"/>
      <c r="CI35" s="378"/>
    </row>
    <row r="36" spans="1:87">
      <c r="A36" s="16"/>
      <c r="B36" s="94" t="str">
        <f>'ITAR_K Gesamtansicht'!B36</f>
        <v>Anzahl Leistungseinheiten (Case Mix, Pflegetage, fakt. Taxpunkte, Ertrag, etc.)</v>
      </c>
      <c r="C36" s="353"/>
      <c r="D36" s="357"/>
      <c r="E36" s="357"/>
      <c r="F36" s="379"/>
      <c r="G36" s="379"/>
      <c r="H36" s="379"/>
      <c r="R36" s="368"/>
      <c r="BF36" s="368"/>
      <c r="BS36" s="368"/>
      <c r="BT36" s="368"/>
      <c r="BU36" s="368"/>
      <c r="BV36" s="368"/>
      <c r="BW36" s="572"/>
      <c r="CE36" s="368">
        <f>+'ITAR_K Gesamtansicht'!CE36+'ITAR_K Gesamtansicht'!CD36</f>
        <v>0</v>
      </c>
      <c r="CF36" s="380"/>
    </row>
    <row r="37" spans="1:87">
      <c r="A37" s="16"/>
      <c r="B37" s="221" t="str">
        <f>'ITAR_K Gesamtansicht'!B37</f>
        <v>Anzahl Fälle (exkl. unbewertete DRG-Fälle)</v>
      </c>
      <c r="C37" s="358"/>
      <c r="D37" s="359"/>
      <c r="E37" s="360"/>
      <c r="F37" s="383"/>
      <c r="G37" s="383"/>
      <c r="H37" s="383"/>
      <c r="R37" s="369"/>
      <c r="BF37" s="369"/>
      <c r="BS37" s="369"/>
      <c r="BT37" s="369"/>
      <c r="BU37" s="369"/>
      <c r="BV37" s="369"/>
      <c r="BW37" s="572"/>
      <c r="CE37" s="369">
        <f>+'ITAR_K Gesamtansicht'!CE37+'ITAR_K Gesamtansicht'!CD37</f>
        <v>0</v>
      </c>
      <c r="CF37" s="384"/>
      <c r="CG37" s="384"/>
      <c r="CH37" s="384"/>
      <c r="CI37" s="384"/>
    </row>
    <row r="38" spans="1:87">
      <c r="A38" s="16"/>
      <c r="B38" s="221" t="str">
        <f>'ITAR_K Gesamtansicht'!B38</f>
        <v>Case Mix Index (bzw. durchschnittliche Verweildauer, wenn LE = Tag)</v>
      </c>
      <c r="C38" s="358"/>
      <c r="D38" s="359"/>
      <c r="E38" s="360"/>
      <c r="F38" s="383"/>
      <c r="G38" s="383"/>
      <c r="H38" s="383"/>
      <c r="R38" s="385"/>
      <c r="BF38" s="386"/>
      <c r="BS38" s="386"/>
      <c r="BT38" s="386"/>
      <c r="BU38" s="386"/>
      <c r="BV38" s="386"/>
      <c r="BW38" s="384"/>
      <c r="CE38" s="386" t="e">
        <f>+CE36/CE37</f>
        <v>#DIV/0!</v>
      </c>
      <c r="CF38" s="384"/>
    </row>
    <row r="39" spans="1:87">
      <c r="A39" s="176"/>
      <c r="B39" s="107" t="str">
        <f>'ITAR_K Gesamtansicht'!B39</f>
        <v>Basiswert (Bezug: Fall, Tag,...) pro Tarifwerk</v>
      </c>
      <c r="C39" s="103"/>
      <c r="D39" s="104"/>
      <c r="E39" s="104"/>
      <c r="F39" s="369"/>
      <c r="G39" s="369"/>
      <c r="H39" s="369"/>
      <c r="R39" s="367"/>
      <c r="BF39" s="369"/>
      <c r="BS39" s="369"/>
      <c r="BT39" s="369"/>
      <c r="BU39" s="369"/>
      <c r="BV39" s="369"/>
      <c r="BW39" s="367"/>
      <c r="CE39" s="369">
        <f>+CE36</f>
        <v>0</v>
      </c>
      <c r="CF39" s="387"/>
    </row>
    <row r="40" spans="1:87" s="2" customFormat="1" ht="13.5" customHeight="1" thickBot="1">
      <c r="B40" s="988" t="str">
        <f>'ITAR_K Gesamtansicht'!B40</f>
        <v>Benchmarking-relevanter Basiswert (Bezug: Fall, Tag,...)  (Zusammenzug)</v>
      </c>
      <c r="C40" s="989"/>
      <c r="D40" s="990"/>
      <c r="E40" s="990"/>
      <c r="F40" s="981"/>
      <c r="G40" s="390"/>
      <c r="H40" s="390"/>
      <c r="R40" s="784"/>
      <c r="BF40" s="784"/>
      <c r="BS40" s="784"/>
      <c r="BT40" s="784"/>
      <c r="BU40" s="784"/>
      <c r="BV40" s="784"/>
      <c r="BW40" s="784"/>
      <c r="CE40" s="784" t="e">
        <f>+CE35/CE39</f>
        <v>#DIV/0!</v>
      </c>
      <c r="CF40" s="394"/>
    </row>
    <row r="41" spans="1:87" s="102" customFormat="1">
      <c r="A41" s="978"/>
      <c r="B41" s="984" t="str">
        <f>'ITAR_K Gesamtansicht'!B41</f>
        <v>Anlagenutzungskosten REKOLE</v>
      </c>
      <c r="C41" s="985"/>
      <c r="D41" s="986"/>
      <c r="E41" s="987"/>
      <c r="F41" s="415"/>
      <c r="G41" s="415"/>
      <c r="H41" s="415"/>
      <c r="R41" s="581"/>
      <c r="BF41" s="581"/>
      <c r="BS41" s="969"/>
      <c r="BT41" s="969"/>
      <c r="BU41" s="969"/>
      <c r="BV41" s="969"/>
      <c r="BW41" s="970"/>
      <c r="CE41" s="967">
        <f>'ITAR_K Gesamtansicht'!CE41</f>
        <v>0</v>
      </c>
      <c r="CF41" s="387"/>
    </row>
    <row r="42" spans="1:87" s="102" customFormat="1">
      <c r="A42" s="978"/>
      <c r="B42" s="160" t="str">
        <f>'ITAR_K Gesamtansicht'!B42</f>
        <v>Benchmarking-relevante Betriebskosten (BRB) inkl. Anlagenutzungskosten REKOLE</v>
      </c>
      <c r="C42" s="966"/>
      <c r="D42" s="623"/>
      <c r="E42" s="624"/>
      <c r="F42" s="415"/>
      <c r="G42" s="415"/>
      <c r="H42" s="415"/>
      <c r="R42" s="581"/>
      <c r="BF42" s="581"/>
      <c r="BS42" s="581"/>
      <c r="BT42" s="581"/>
      <c r="BU42" s="581"/>
      <c r="BV42" s="581"/>
      <c r="BW42" s="388"/>
      <c r="CE42" s="367" t="e">
        <f>'ITAR_K Gesamtansicht'!CE42</f>
        <v>#DIV/0!</v>
      </c>
      <c r="CF42" s="387"/>
    </row>
    <row r="43" spans="1:87" s="977" customFormat="1">
      <c r="A43" s="979"/>
      <c r="B43" s="982" t="str">
        <f>'ITAR_K Gesamtansicht'!B43</f>
        <v>Anteil Anlagenutzung an Benchmarking-relevante Betriebskosten (BRB) inkl. ANK</v>
      </c>
      <c r="C43" s="972"/>
      <c r="D43" s="971"/>
      <c r="E43" s="983"/>
      <c r="F43" s="973"/>
      <c r="G43" s="973"/>
      <c r="H43" s="973"/>
      <c r="R43" s="974"/>
      <c r="BF43" s="974"/>
      <c r="BS43" s="974"/>
      <c r="BT43" s="974"/>
      <c r="BU43" s="974"/>
      <c r="BV43" s="974"/>
      <c r="BW43" s="975"/>
      <c r="CE43" s="840" t="e">
        <f>'ITAR_K Gesamtansicht'!CE43</f>
        <v>#DIV/0!</v>
      </c>
      <c r="CF43" s="976"/>
    </row>
    <row r="44" spans="1:87" s="2" customFormat="1">
      <c r="A44" s="980"/>
      <c r="B44" s="842" t="str">
        <f>'ITAR_K Gesamtansicht'!B44</f>
        <v>Benchmarking-relevanter Basiswert (Bezug: Fall, Tag,...)  inkl. ANK REKOLE</v>
      </c>
      <c r="C44" s="170"/>
      <c r="D44" s="171"/>
      <c r="E44" s="533"/>
      <c r="F44" s="390"/>
      <c r="G44" s="390"/>
      <c r="H44" s="390"/>
      <c r="R44" s="395"/>
      <c r="BF44" s="395"/>
      <c r="BS44" s="395"/>
      <c r="BT44" s="395"/>
      <c r="BU44" s="395"/>
      <c r="BV44" s="395"/>
      <c r="BW44" s="391"/>
      <c r="CE44" s="817" t="e">
        <f>'ITAR_K Gesamtansicht'!CE44</f>
        <v>#DIV/0!</v>
      </c>
      <c r="CF44" s="394"/>
    </row>
    <row r="45" spans="1:87" s="102" customFormat="1">
      <c r="A45" s="978"/>
      <c r="B45" s="160" t="str">
        <f>'ITAR_K Gesamtansicht'!B45</f>
        <v>Anlagenutzungskosten VKL</v>
      </c>
      <c r="C45" s="966"/>
      <c r="D45" s="623"/>
      <c r="E45" s="624"/>
      <c r="F45" s="415"/>
      <c r="G45" s="415"/>
      <c r="H45" s="415"/>
      <c r="R45" s="581"/>
      <c r="BF45" s="581"/>
      <c r="BS45" s="581"/>
      <c r="BT45" s="581"/>
      <c r="BU45" s="581"/>
      <c r="BV45" s="581"/>
      <c r="BW45" s="388"/>
      <c r="CE45" s="367">
        <f>'ITAR_K Gesamtansicht'!CE45</f>
        <v>0</v>
      </c>
      <c r="CF45" s="387"/>
    </row>
    <row r="46" spans="1:87" s="102" customFormat="1">
      <c r="A46" s="978"/>
      <c r="B46" s="160" t="str">
        <f>'ITAR_K Gesamtansicht'!B46</f>
        <v>Benchmarking-relevante Betriebskosten (BRB) inkl. Anlagenutzungskosten VKL</v>
      </c>
      <c r="C46" s="966"/>
      <c r="D46" s="623"/>
      <c r="E46" s="624"/>
      <c r="F46" s="415"/>
      <c r="G46" s="415"/>
      <c r="H46" s="415"/>
      <c r="R46" s="581"/>
      <c r="BF46" s="581"/>
      <c r="BS46" s="581"/>
      <c r="BT46" s="581"/>
      <c r="BU46" s="581"/>
      <c r="BV46" s="581"/>
      <c r="BW46" s="388"/>
      <c r="CE46" s="367" t="e">
        <f>'ITAR_K Gesamtansicht'!CE46</f>
        <v>#DIV/0!</v>
      </c>
      <c r="CF46" s="387"/>
    </row>
    <row r="47" spans="1:87" s="977" customFormat="1">
      <c r="A47" s="979"/>
      <c r="B47" s="982" t="str">
        <f>'ITAR_K Gesamtansicht'!B47</f>
        <v>Anteil Anlagenutzung an Benchmarking-relevante Betriebskosten (BRB) inkl. ANK</v>
      </c>
      <c r="C47" s="972"/>
      <c r="D47" s="971"/>
      <c r="E47" s="983"/>
      <c r="F47" s="973"/>
      <c r="G47" s="973"/>
      <c r="H47" s="973"/>
      <c r="R47" s="974"/>
      <c r="BF47" s="974"/>
      <c r="BS47" s="974"/>
      <c r="BT47" s="974"/>
      <c r="BU47" s="974"/>
      <c r="BV47" s="974"/>
      <c r="BW47" s="975"/>
      <c r="CE47" s="840" t="e">
        <f>'ITAR_K Gesamtansicht'!CE47</f>
        <v>#DIV/0!</v>
      </c>
      <c r="CF47" s="976"/>
    </row>
    <row r="48" spans="1:87" s="2" customFormat="1" ht="13.5" thickBot="1">
      <c r="A48" s="980"/>
      <c r="B48" s="842" t="str">
        <f>'ITAR_K Gesamtansicht'!B48</f>
        <v>Benchmarking-relevanter Basiswert (Bezug: Fall, Tag,...)  inkl. ANK VKL</v>
      </c>
      <c r="C48" s="170"/>
      <c r="D48" s="171"/>
      <c r="E48" s="533"/>
      <c r="F48" s="390"/>
      <c r="G48" s="390"/>
      <c r="H48" s="390"/>
      <c r="R48" s="395"/>
      <c r="BF48" s="395"/>
      <c r="BS48" s="395"/>
      <c r="BT48" s="395"/>
      <c r="BU48" s="395"/>
      <c r="BV48" s="395"/>
      <c r="BW48" s="391"/>
      <c r="CE48" s="965" t="e">
        <f>'ITAR_K Gesamtansicht'!CE48</f>
        <v>#DIV/0!</v>
      </c>
      <c r="CF48" s="394"/>
    </row>
    <row r="49" spans="1:84" s="2" customFormat="1" ht="45" customHeight="1" thickBot="1">
      <c r="B49" s="964"/>
      <c r="C49" s="171"/>
      <c r="D49" s="171"/>
      <c r="E49" s="171"/>
      <c r="F49" s="390"/>
      <c r="G49" s="390"/>
      <c r="H49" s="390"/>
      <c r="R49" s="395"/>
      <c r="BF49" s="395"/>
      <c r="BS49" s="395"/>
      <c r="BT49" s="395"/>
      <c r="BU49" s="395"/>
      <c r="BV49" s="395"/>
      <c r="BW49" s="391"/>
      <c r="CE49" s="900" t="str">
        <f>'ITAR_K Gesamtansicht'!CE49</f>
        <v>Total 
Tageskliniken Psychiatrie</v>
      </c>
      <c r="CF49" s="394"/>
    </row>
    <row r="50" spans="1:84" s="2" customFormat="1">
      <c r="A50" s="1362" t="str">
        <f>'ITAR_K Gesamtansicht'!A50</f>
        <v>Berechnungen je Leistungseinheit</v>
      </c>
      <c r="B50" s="172" t="str">
        <f>'ITAR_K Gesamtansicht'!B50</f>
        <v>DRG: Basisfallwert nach Benchmarking / Übrige: Kosten je Leistungseinheit</v>
      </c>
      <c r="C50" s="5"/>
      <c r="D50" s="6"/>
      <c r="E50" s="6"/>
      <c r="F50" s="397"/>
      <c r="G50" s="390"/>
      <c r="H50" s="390"/>
      <c r="R50" s="748"/>
      <c r="BF50" s="395"/>
      <c r="BS50" s="395"/>
      <c r="BT50" s="395"/>
      <c r="BU50" s="395"/>
      <c r="BV50" s="395"/>
      <c r="BW50" s="391"/>
      <c r="CE50" s="398" t="e">
        <f>'ITAR_K Gesamtansicht'!CE50</f>
        <v>#DIV/0!</v>
      </c>
      <c r="CF50" s="394"/>
    </row>
    <row r="51" spans="1:84" s="29" customFormat="1">
      <c r="A51" s="1363"/>
      <c r="B51" s="173" t="str">
        <f>'ITAR_K Gesamtansicht'!B51</f>
        <v>Ambulant: Kosten je Taxpunkt und Tarif, nach Abzügen/Aufrechnungen inkl. ANK REKOLE</v>
      </c>
      <c r="C51" s="5"/>
      <c r="D51" s="6"/>
      <c r="E51" s="6"/>
      <c r="F51" s="397"/>
      <c r="G51" s="390"/>
      <c r="H51" s="390"/>
      <c r="R51" s="748"/>
      <c r="BF51" s="395"/>
      <c r="BS51" s="395"/>
      <c r="BT51" s="395"/>
      <c r="BU51" s="395"/>
      <c r="BV51" s="395"/>
      <c r="BW51" s="391"/>
      <c r="CE51" s="399">
        <f>'ITAR_K Gesamtansicht'!CE51</f>
        <v>0</v>
      </c>
      <c r="CF51" s="394"/>
    </row>
    <row r="52" spans="1:84">
      <c r="A52" s="1363"/>
      <c r="B52" s="174" t="str">
        <f>'ITAR_K Gesamtansicht'!B52</f>
        <v>+ nationale Projektionsrechnung: Personal- und Sachteuerung auf 1 Jahr</v>
      </c>
      <c r="C52" s="12"/>
      <c r="D52" s="11"/>
      <c r="E52" s="11"/>
      <c r="F52" s="400"/>
      <c r="G52" s="401"/>
      <c r="H52" s="401"/>
      <c r="R52" s="136"/>
      <c r="BF52" s="767"/>
      <c r="BS52" s="767"/>
      <c r="BT52" s="767"/>
      <c r="BU52" s="767"/>
      <c r="BV52" s="767"/>
      <c r="BW52" s="404"/>
      <c r="CE52" s="320" t="e">
        <f>'ITAR_K Gesamtansicht'!CE52</f>
        <v>#DIV/0!</v>
      </c>
      <c r="CF52" s="405"/>
    </row>
    <row r="53" spans="1:84">
      <c r="A53" s="1363"/>
      <c r="B53" s="174" t="str">
        <f>'ITAR_K Gesamtansicht'!B53</f>
        <v>+/- spitalbezogene Projektionsrechnung</v>
      </c>
      <c r="C53" s="14"/>
      <c r="D53" s="11"/>
      <c r="E53" s="11"/>
      <c r="F53" s="400"/>
      <c r="G53" s="401"/>
      <c r="H53" s="401"/>
      <c r="R53" s="138"/>
      <c r="BF53" s="767"/>
      <c r="BS53" s="767"/>
      <c r="BT53" s="767"/>
      <c r="BU53" s="767"/>
      <c r="BV53" s="767"/>
      <c r="BW53" s="404"/>
      <c r="CE53" s="320">
        <f>'ITAR_K Gesamtansicht'!CE53</f>
        <v>0</v>
      </c>
      <c r="CF53" s="405"/>
    </row>
    <row r="54" spans="1:84">
      <c r="A54" s="1363"/>
      <c r="B54" s="174" t="str">
        <f>'ITAR_K Gesamtansicht'!B54</f>
        <v>+/- Zuschlag/Abschlag wegen neuen gesetzlichen Auflagen</v>
      </c>
      <c r="C54" s="14"/>
      <c r="D54" s="11"/>
      <c r="E54" s="11"/>
      <c r="F54" s="400"/>
      <c r="G54" s="401"/>
      <c r="H54" s="401"/>
      <c r="R54" s="138"/>
      <c r="BF54" s="767"/>
      <c r="BS54" s="767"/>
      <c r="BT54" s="767"/>
      <c r="BU54" s="767"/>
      <c r="BV54" s="767"/>
      <c r="BW54" s="404"/>
      <c r="CE54" s="320">
        <f>'ITAR_K Gesamtansicht'!CE54</f>
        <v>0</v>
      </c>
      <c r="CF54" s="405"/>
    </row>
    <row r="55" spans="1:84" s="2" customFormat="1">
      <c r="A55" s="1363"/>
      <c r="B55" s="172" t="str">
        <f>'ITAR_K Gesamtansicht'!B55</f>
        <v>Basisfallwert 2015 bzw. massgebende Kosten je Leist.einheit, exkl. ANK</v>
      </c>
      <c r="C55" s="5"/>
      <c r="D55" s="6"/>
      <c r="E55" s="6"/>
      <c r="F55" s="397"/>
      <c r="G55" s="390"/>
      <c r="H55" s="390"/>
      <c r="R55" s="138"/>
      <c r="BF55" s="768"/>
      <c r="BS55" s="768"/>
      <c r="BT55" s="768"/>
      <c r="BU55" s="768"/>
      <c r="BV55" s="768"/>
      <c r="BW55" s="408"/>
      <c r="CE55" s="409" t="e">
        <f>'ITAR_K Gesamtansicht'!CE55</f>
        <v>#DIV/0!</v>
      </c>
      <c r="CF55" s="411"/>
    </row>
    <row r="56" spans="1:84">
      <c r="A56" s="1363"/>
      <c r="B56" s="174" t="str">
        <f>'ITAR_K Gesamtansicht'!B56</f>
        <v>+Anteil Anlagenutzungskosten (ANK)</v>
      </c>
      <c r="C56" s="14"/>
      <c r="D56" s="15"/>
      <c r="E56" s="15"/>
      <c r="F56" s="414"/>
      <c r="G56" s="415"/>
      <c r="H56" s="415"/>
      <c r="R56" s="748"/>
      <c r="BF56" s="767"/>
      <c r="BS56" s="767"/>
      <c r="BT56" s="767"/>
      <c r="BU56" s="767"/>
      <c r="BV56" s="767"/>
      <c r="BW56" s="404"/>
      <c r="CE56" s="320" t="e">
        <f>'ITAR_K Gesamtansicht'!CE56</f>
        <v>#DIV/0!</v>
      </c>
      <c r="CF56" s="405"/>
    </row>
    <row r="57" spans="1:84" s="29" customFormat="1">
      <c r="A57" s="1363"/>
      <c r="B57" s="172" t="str">
        <f>'ITAR_K Gesamtansicht'!B57</f>
        <v>Basisfallwerte je cw 1.0 bzw. Kosten je Leistungseinheit gesamt</v>
      </c>
      <c r="C57" s="5"/>
      <c r="D57" s="6"/>
      <c r="E57" s="6"/>
      <c r="F57" s="397"/>
      <c r="G57" s="390"/>
      <c r="H57" s="390"/>
      <c r="R57" s="138"/>
      <c r="BF57" s="769"/>
      <c r="BS57" s="769"/>
      <c r="BT57" s="769"/>
      <c r="BU57" s="769"/>
      <c r="BV57" s="769"/>
      <c r="BW57" s="416"/>
      <c r="CE57" s="424" t="e">
        <f>'ITAR_K Gesamtansicht'!CE57</f>
        <v>#DIV/0!</v>
      </c>
      <c r="CF57" s="418"/>
    </row>
    <row r="58" spans="1:84">
      <c r="A58" s="1364"/>
      <c r="B58" s="175" t="str">
        <f>'ITAR_K Gesamtansicht'!B58</f>
        <v>Summe der amb. Korrekturen exkl. ANK</v>
      </c>
      <c r="C58" s="163"/>
      <c r="D58" s="16"/>
      <c r="E58" s="16"/>
      <c r="F58" s="425"/>
      <c r="G58" s="426"/>
      <c r="H58" s="426"/>
      <c r="R58" s="136"/>
      <c r="BF58" s="770"/>
      <c r="BS58" s="770"/>
      <c r="BT58" s="770"/>
      <c r="BU58" s="770"/>
      <c r="BV58" s="770"/>
      <c r="BW58" s="420"/>
      <c r="CE58" s="429">
        <f>'ITAR_K Gesamtansicht'!CE58</f>
        <v>0</v>
      </c>
      <c r="CF58" s="422"/>
    </row>
    <row r="59" spans="1:84">
      <c r="A59" s="75"/>
      <c r="F59" s="431"/>
      <c r="G59" s="431"/>
      <c r="H59" s="431"/>
      <c r="R59" s="432"/>
      <c r="BF59" s="432"/>
      <c r="BS59" s="432"/>
      <c r="BT59" s="432"/>
      <c r="BU59" s="432"/>
      <c r="BV59" s="432"/>
      <c r="BW59" s="434"/>
      <c r="CE59" s="432"/>
      <c r="CF59" s="432"/>
    </row>
    <row r="60" spans="1:84">
      <c r="F60" s="431"/>
      <c r="G60" s="431"/>
      <c r="H60" s="431"/>
      <c r="R60" s="432"/>
      <c r="BF60" s="432"/>
      <c r="BS60" s="432"/>
      <c r="BT60" s="432"/>
      <c r="BU60" s="432"/>
      <c r="BV60" s="432"/>
      <c r="BW60" s="434"/>
      <c r="CE60" s="432"/>
      <c r="CF60" s="432"/>
    </row>
    <row r="61" spans="1:84">
      <c r="B61" s="2" t="str">
        <f>'ITAR_K Gesamtansicht'!B62</f>
        <v>Berechnungsparameter</v>
      </c>
      <c r="F61" s="431"/>
      <c r="G61" s="431"/>
      <c r="H61" s="431"/>
      <c r="R61" s="432"/>
      <c r="BF61" s="432"/>
      <c r="BS61" s="432"/>
      <c r="BT61" s="432"/>
      <c r="BU61" s="432"/>
      <c r="BV61" s="432"/>
      <c r="BW61" s="434"/>
      <c r="CE61" s="432"/>
      <c r="CF61" s="432"/>
    </row>
    <row r="62" spans="1:84" s="147" customFormat="1">
      <c r="B62" s="259" t="str">
        <f>'ITAR_K Gesamtansicht'!B63</f>
        <v>allenfalls Abzug Beiträge universitäre Lehre und Forschung</v>
      </c>
      <c r="C62" s="254"/>
      <c r="D62" s="209"/>
      <c r="E62" s="898"/>
      <c r="F62" s="435"/>
      <c r="G62" s="435"/>
      <c r="H62" s="435"/>
      <c r="R62" s="474"/>
      <c r="BF62" s="436"/>
      <c r="BS62" s="436"/>
      <c r="BT62" s="437"/>
      <c r="BU62" s="437"/>
      <c r="BV62" s="437"/>
      <c r="BW62" s="471"/>
      <c r="CE62" s="437" t="e">
        <f>+'ITAR_K Gesamtansicht'!CE63</f>
        <v>#DIV/0!</v>
      </c>
      <c r="CF62" s="438"/>
    </row>
    <row r="63" spans="1:84" s="147" customFormat="1">
      <c r="B63" s="259" t="str">
        <f>'ITAR_K Gesamtansicht'!B64</f>
        <v>Sind die UV-Zinsen in der Kostenrechnung nach Methode PUE ermittelt</v>
      </c>
      <c r="C63" s="254"/>
      <c r="D63" s="209"/>
      <c r="E63" s="256">
        <f>+'ITAR_K Gesamtansicht'!E64</f>
        <v>0</v>
      </c>
      <c r="F63" s="440"/>
      <c r="G63" s="440"/>
      <c r="H63" s="440"/>
      <c r="R63" s="442"/>
      <c r="BF63" s="442"/>
      <c r="BS63" s="442"/>
      <c r="BT63" s="441"/>
      <c r="BU63" s="441"/>
      <c r="BV63" s="443"/>
      <c r="BW63" s="434"/>
      <c r="CE63" s="441"/>
      <c r="CF63" s="434"/>
    </row>
    <row r="64" spans="1:84" s="147" customFormat="1">
      <c r="B64" s="260" t="str">
        <f>'ITAR_K Gesamtansicht'!B65</f>
        <v>Allenfalls normativer Zuschlag für kalkulatorische Zinsen auf Umlaufvermögen gemäss Methode PUE</v>
      </c>
      <c r="C64" s="254"/>
      <c r="D64" s="209"/>
      <c r="E64" s="257">
        <f>+'ITAR_K Gesamtansicht'!E65</f>
        <v>8.0000000000000004E-4</v>
      </c>
      <c r="F64" s="894">
        <f>+'ITAR_K Gesamtansicht'!F65</f>
        <v>8.0000000000000004E-4</v>
      </c>
      <c r="G64" s="444"/>
      <c r="H64" s="444"/>
      <c r="R64" s="446"/>
      <c r="BF64" s="446"/>
      <c r="BS64" s="446"/>
      <c r="BT64" s="445"/>
      <c r="BU64" s="445"/>
      <c r="BV64" s="447"/>
      <c r="BW64" s="448"/>
      <c r="CE64" s="445">
        <f>+'ITAR_K Gesamtansicht'!CE65</f>
        <v>8.0000000000000004E-4</v>
      </c>
      <c r="CF64" s="434"/>
    </row>
    <row r="65" spans="1:87" s="147" customFormat="1">
      <c r="B65" s="260" t="str">
        <f>'ITAR_K Gesamtansicht'!B66</f>
        <v>Grundversicherungsanteil an Zusatzversicherungshonoraren</v>
      </c>
      <c r="C65" s="254"/>
      <c r="D65" s="209"/>
      <c r="E65" s="255"/>
      <c r="F65" s="444"/>
      <c r="G65" s="444"/>
      <c r="H65" s="444"/>
      <c r="R65" s="449"/>
      <c r="BF65" s="449"/>
      <c r="BS65" s="472"/>
      <c r="BT65" s="432"/>
      <c r="BU65" s="432"/>
      <c r="BV65" s="432"/>
      <c r="BW65" s="432"/>
      <c r="CE65" s="432"/>
      <c r="CF65" s="432"/>
    </row>
    <row r="66" spans="1:87">
      <c r="B66" s="259" t="str">
        <f>'ITAR_K Gesamtansicht'!B67</f>
        <v>Abschlagsatz für Mehrkosten aus Leistungen für Zusatzversicherte</v>
      </c>
      <c r="C66" s="146"/>
      <c r="D66" s="158">
        <f>+'ITAR_K Gesamtansicht'!D67</f>
        <v>0</v>
      </c>
      <c r="E66" s="258">
        <f>+'ITAR_K Gesamtansicht'!E67</f>
        <v>0</v>
      </c>
      <c r="F66" s="452">
        <f>+'ITAR_K Gesamtansicht'!F67</f>
        <v>0</v>
      </c>
      <c r="G66" s="452"/>
      <c r="H66" s="452"/>
      <c r="R66" s="453"/>
      <c r="BF66" s="453"/>
      <c r="BS66" s="473"/>
      <c r="BT66" s="384"/>
      <c r="BU66" s="384"/>
      <c r="BV66" s="384"/>
      <c r="BW66" s="384"/>
      <c r="CE66" s="384"/>
      <c r="CF66" s="384"/>
    </row>
    <row r="67" spans="1:87" ht="25.5">
      <c r="B67" s="261" t="str">
        <f>'ITAR_K Gesamtansicht'!B68</f>
        <v>Nationale Projektionsrechnung :</v>
      </c>
      <c r="C67" s="205"/>
      <c r="D67" s="222" t="s">
        <v>1441</v>
      </c>
      <c r="E67" s="262" t="str">
        <f>+'ITAR_K Gesamtansicht'!E68</f>
        <v>Index-veränderung</v>
      </c>
      <c r="F67" s="426"/>
      <c r="G67" s="426"/>
      <c r="H67" s="426"/>
      <c r="R67" s="432"/>
      <c r="BF67" s="434"/>
      <c r="BS67" s="434"/>
      <c r="BT67" s="432"/>
      <c r="BU67" s="432"/>
      <c r="BV67" s="432"/>
      <c r="BW67" s="434"/>
      <c r="CE67" s="434"/>
      <c r="CF67" s="432"/>
    </row>
    <row r="68" spans="1:87">
      <c r="B68" s="260" t="str">
        <f>'ITAR_K Gesamtansicht'!B69</f>
        <v>Teuerungszuschlag Personalkosten</v>
      </c>
      <c r="C68" s="157"/>
      <c r="D68" s="159" t="e">
        <f>+'ITAR_K Gesamtansicht'!D69</f>
        <v>#DIV/0!</v>
      </c>
      <c r="E68" s="238">
        <f>+'ITAR_K Gesamtansicht'!E69</f>
        <v>0</v>
      </c>
      <c r="F68" s="431"/>
      <c r="G68" s="431"/>
      <c r="H68" s="431"/>
      <c r="R68" s="433"/>
      <c r="BF68" s="432"/>
      <c r="BS68" s="432"/>
      <c r="BT68" s="432"/>
      <c r="BU68" s="432"/>
      <c r="BV68" s="432"/>
      <c r="BW68" s="384"/>
      <c r="CE68" s="432"/>
      <c r="CF68" s="432"/>
    </row>
    <row r="69" spans="1:87">
      <c r="B69" s="259" t="str">
        <f>'ITAR_K Gesamtansicht'!B70</f>
        <v>Teuerungszuschlag Sachkosten</v>
      </c>
      <c r="C69" s="146"/>
      <c r="D69" s="159" t="e">
        <f>+'ITAR_K Gesamtansicht'!D70</f>
        <v>#DIV/0!</v>
      </c>
      <c r="E69" s="238">
        <f>+'ITAR_K Gesamtansicht'!E70</f>
        <v>0</v>
      </c>
      <c r="F69" s="452"/>
      <c r="G69" s="452"/>
      <c r="H69" s="452"/>
      <c r="R69" s="454"/>
      <c r="BF69" s="454"/>
      <c r="BS69" s="454"/>
      <c r="BT69" s="454"/>
      <c r="BU69" s="454"/>
      <c r="BV69" s="455"/>
      <c r="BW69" s="384"/>
      <c r="CE69" s="454" t="e">
        <f>+'ITAR_K Gesamtansicht'!CE70</f>
        <v>#DIV/0!</v>
      </c>
      <c r="CF69" s="456"/>
    </row>
    <row r="70" spans="1:87">
      <c r="B70" s="259" t="str">
        <f>'ITAR_K Gesamtansicht'!B71</f>
        <v>Spitalbezogene Projektionsrechnung</v>
      </c>
      <c r="C70" s="146"/>
      <c r="D70" s="153"/>
      <c r="E70" s="216">
        <f>+'ITAR_K Gesamtansicht'!E71</f>
        <v>0</v>
      </c>
      <c r="F70" s="458">
        <f>+'ITAR_K Gesamtansicht'!F71</f>
        <v>0</v>
      </c>
      <c r="G70" s="458"/>
      <c r="H70" s="458"/>
      <c r="R70" s="459"/>
      <c r="BF70" s="459"/>
      <c r="BS70" s="459"/>
      <c r="BT70" s="459"/>
      <c r="BU70" s="459"/>
      <c r="BV70" s="459"/>
      <c r="BW70" s="415"/>
      <c r="CE70" s="459">
        <f>+'ITAR_K Gesamtansicht'!CE71</f>
        <v>0</v>
      </c>
      <c r="CF70" s="460"/>
    </row>
    <row r="71" spans="1:87">
      <c r="B71" s="204" t="str">
        <f>'ITAR_K Gesamtansicht'!B72</f>
        <v>Zuschlag wegen neuen gesetzlichen Auflagen :</v>
      </c>
      <c r="C71" s="161"/>
      <c r="D71" s="153"/>
      <c r="E71" s="216">
        <f>+'ITAR_K Gesamtansicht'!E72</f>
        <v>0</v>
      </c>
      <c r="F71" s="458">
        <f>+'ITAR_K Gesamtansicht'!F72</f>
        <v>0</v>
      </c>
      <c r="G71" s="458"/>
      <c r="H71" s="458"/>
      <c r="R71" s="459"/>
      <c r="BF71" s="459"/>
      <c r="BS71" s="459"/>
      <c r="BT71" s="459"/>
      <c r="BU71" s="459"/>
      <c r="BV71" s="459"/>
      <c r="BW71" s="415"/>
      <c r="CE71" s="459">
        <f>+'ITAR_K Gesamtansicht'!CE72</f>
        <v>0</v>
      </c>
      <c r="CF71" s="460"/>
    </row>
    <row r="72" spans="1:87">
      <c r="B72" s="204" t="str">
        <f>'ITAR_K Gesamtansicht'!B73</f>
        <v>Anteil Anlagenutzungskosten (in %)</v>
      </c>
      <c r="C72" s="146"/>
      <c r="D72" s="162"/>
      <c r="E72" s="239">
        <f>+'ITAR_K Gesamtansicht'!E73</f>
        <v>0.12</v>
      </c>
      <c r="F72" s="384"/>
      <c r="G72" s="384"/>
      <c r="H72" s="384"/>
      <c r="R72" s="462"/>
      <c r="BF72" s="462"/>
      <c r="BS72" s="462"/>
      <c r="BT72" s="462"/>
      <c r="BU72" s="462"/>
      <c r="BV72" s="462"/>
      <c r="BW72" s="462"/>
      <c r="CE72" s="462"/>
      <c r="CF72" s="462"/>
    </row>
    <row r="73" spans="1:87">
      <c r="B73" s="22"/>
      <c r="F73" s="431"/>
      <c r="G73" s="431"/>
      <c r="H73" s="431"/>
      <c r="R73" s="433"/>
      <c r="BF73" s="432"/>
      <c r="BS73" s="432"/>
      <c r="BT73" s="432"/>
      <c r="BU73" s="432"/>
      <c r="BV73" s="432"/>
      <c r="BW73" s="432"/>
      <c r="CE73" s="433"/>
      <c r="CF73" s="432"/>
      <c r="CG73" s="432"/>
      <c r="CH73" s="432"/>
      <c r="CI73" s="432"/>
    </row>
    <row r="74" spans="1:87" s="147" customFormat="1">
      <c r="B74" s="208"/>
      <c r="F74" s="431"/>
      <c r="G74" s="431"/>
      <c r="H74" s="431"/>
      <c r="R74" s="433"/>
      <c r="BF74" s="432"/>
      <c r="BS74" s="432"/>
      <c r="BT74" s="432"/>
      <c r="BU74" s="432"/>
      <c r="BV74" s="432"/>
      <c r="BW74" s="432"/>
      <c r="CE74" s="432"/>
      <c r="CF74" s="432"/>
      <c r="CG74" s="432"/>
      <c r="CH74" s="432"/>
      <c r="CI74" s="432"/>
    </row>
    <row r="75" spans="1:87">
      <c r="F75" s="431"/>
      <c r="G75" s="431"/>
      <c r="H75" s="431"/>
      <c r="R75" s="433"/>
      <c r="BF75" s="432"/>
      <c r="BS75" s="432"/>
      <c r="BT75" s="432"/>
      <c r="BU75" s="432"/>
      <c r="BV75" s="432"/>
      <c r="BW75" s="432"/>
      <c r="CE75" s="432"/>
      <c r="CF75" s="432"/>
      <c r="CG75" s="432"/>
      <c r="CH75" s="432"/>
      <c r="CI75" s="432"/>
    </row>
    <row r="76" spans="1:87">
      <c r="A76" s="25"/>
      <c r="B76" s="25"/>
      <c r="C76" s="25"/>
      <c r="D76" s="25"/>
      <c r="E76" s="25"/>
      <c r="F76" s="465"/>
      <c r="G76" s="465"/>
      <c r="H76" s="465"/>
      <c r="R76" s="433"/>
      <c r="BF76" s="432"/>
      <c r="BS76" s="432"/>
      <c r="BT76" s="432"/>
      <c r="BU76" s="432"/>
      <c r="BV76" s="432"/>
      <c r="BW76" s="432"/>
      <c r="CE76" s="432"/>
      <c r="CF76" s="432"/>
      <c r="CG76" s="432"/>
      <c r="CH76" s="432"/>
      <c r="CI76" s="432"/>
    </row>
    <row r="77" spans="1:87">
      <c r="A77" s="25"/>
      <c r="B77" s="135"/>
      <c r="C77" s="25"/>
      <c r="D77" s="25"/>
      <c r="E77" s="25"/>
      <c r="F77" s="465"/>
      <c r="G77" s="465"/>
      <c r="H77" s="465"/>
      <c r="R77" s="433"/>
      <c r="BF77" s="432"/>
      <c r="BS77" s="432"/>
      <c r="BT77" s="432"/>
      <c r="BU77" s="432"/>
      <c r="BV77" s="432"/>
      <c r="BW77" s="432"/>
      <c r="CE77" s="432"/>
      <c r="CF77" s="432"/>
      <c r="CG77" s="432"/>
      <c r="CH77" s="432"/>
      <c r="CI77" s="432"/>
    </row>
    <row r="78" spans="1:87">
      <c r="A78" s="25"/>
      <c r="B78" s="136"/>
      <c r="C78" s="136"/>
      <c r="D78" s="136"/>
      <c r="E78" s="136"/>
      <c r="F78" s="468"/>
      <c r="G78" s="468"/>
      <c r="H78" s="468"/>
      <c r="R78" s="433"/>
      <c r="BF78" s="432"/>
      <c r="BS78" s="432"/>
      <c r="BT78" s="432"/>
      <c r="BU78" s="432"/>
      <c r="BV78" s="432"/>
      <c r="BW78" s="432"/>
      <c r="CE78" s="432"/>
      <c r="CF78" s="432"/>
      <c r="CG78" s="432"/>
      <c r="CH78" s="432"/>
      <c r="CI78" s="432"/>
    </row>
    <row r="79" spans="1:87">
      <c r="A79" s="25"/>
      <c r="B79" s="25"/>
      <c r="C79" s="25"/>
      <c r="D79" s="25"/>
      <c r="E79" s="25"/>
      <c r="F79" s="465"/>
      <c r="G79" s="465"/>
      <c r="H79" s="465"/>
      <c r="R79" s="433"/>
      <c r="BF79" s="432"/>
      <c r="BS79" s="432"/>
      <c r="BT79" s="432"/>
      <c r="BU79" s="432"/>
      <c r="BV79" s="432"/>
      <c r="BW79" s="432"/>
      <c r="CE79" s="432"/>
      <c r="CF79" s="432"/>
      <c r="CG79" s="432"/>
      <c r="CH79" s="432"/>
      <c r="CI79" s="432"/>
    </row>
    <row r="80" spans="1:87">
      <c r="A80" s="25"/>
      <c r="B80" s="25"/>
      <c r="C80" s="25"/>
      <c r="D80" s="25"/>
      <c r="E80" s="25"/>
      <c r="F80" s="465"/>
      <c r="G80" s="465"/>
      <c r="H80" s="465"/>
      <c r="R80" s="433"/>
      <c r="BF80" s="432"/>
      <c r="BS80" s="432"/>
      <c r="BT80" s="432"/>
      <c r="BU80" s="432"/>
      <c r="BV80" s="432"/>
      <c r="BW80" s="432"/>
      <c r="CE80" s="432"/>
      <c r="CF80" s="432"/>
      <c r="CG80" s="432"/>
      <c r="CH80" s="432"/>
      <c r="CI80" s="432"/>
    </row>
    <row r="81" spans="1:87">
      <c r="A81" s="25"/>
      <c r="B81" s="25"/>
      <c r="C81" s="25"/>
      <c r="D81" s="25"/>
      <c r="E81" s="25"/>
      <c r="F81" s="25"/>
      <c r="G81" s="25"/>
      <c r="H81" s="25"/>
      <c r="BF81" s="76"/>
      <c r="BS81" s="76"/>
      <c r="BT81" s="76"/>
      <c r="BU81" s="76"/>
      <c r="BV81" s="76"/>
      <c r="BW81" s="76"/>
      <c r="CE81" s="76"/>
      <c r="CF81" s="76"/>
      <c r="CG81" s="76"/>
      <c r="CH81" s="76"/>
      <c r="CI81" s="76"/>
    </row>
    <row r="82" spans="1:87">
      <c r="A82" s="25"/>
      <c r="B82" s="136"/>
      <c r="C82" s="25"/>
      <c r="D82" s="25"/>
      <c r="E82" s="25"/>
      <c r="F82" s="25"/>
      <c r="G82" s="25"/>
      <c r="H82" s="25"/>
      <c r="BF82" s="78"/>
      <c r="BS82" s="78"/>
      <c r="BT82" s="78"/>
      <c r="BU82" s="78"/>
      <c r="BV82" s="78"/>
      <c r="BW82" s="78"/>
      <c r="CE82" s="78"/>
      <c r="CF82" s="78"/>
      <c r="CG82" s="78"/>
      <c r="CH82" s="78"/>
      <c r="CI82" s="78"/>
    </row>
    <row r="83" spans="1:87">
      <c r="A83" s="25"/>
      <c r="B83" s="135"/>
      <c r="C83" s="25"/>
      <c r="D83" s="25"/>
      <c r="E83" s="25"/>
      <c r="F83" s="25"/>
      <c r="G83" s="25"/>
      <c r="H83" s="25"/>
      <c r="BF83" s="78"/>
      <c r="BS83" s="78"/>
      <c r="BT83" s="78"/>
      <c r="BU83" s="78"/>
      <c r="BV83" s="78"/>
      <c r="BW83" s="78"/>
      <c r="CE83" s="78"/>
      <c r="CF83" s="78"/>
      <c r="CG83" s="78"/>
      <c r="CH83" s="78"/>
      <c r="CI83" s="78"/>
    </row>
    <row r="84" spans="1:87">
      <c r="A84" s="25"/>
      <c r="B84" s="25"/>
      <c r="C84" s="25"/>
      <c r="D84" s="25"/>
      <c r="E84" s="25"/>
      <c r="F84" s="25"/>
      <c r="G84" s="25"/>
      <c r="H84" s="25"/>
      <c r="BF84" s="137"/>
      <c r="BS84" s="137"/>
      <c r="BT84" s="75"/>
      <c r="BU84" s="75"/>
      <c r="BV84" s="75"/>
      <c r="BW84" s="137"/>
      <c r="CE84" s="76"/>
      <c r="CF84" s="75"/>
      <c r="CG84" s="75"/>
      <c r="CH84" s="75"/>
      <c r="CI84" s="75"/>
    </row>
    <row r="85" spans="1:87">
      <c r="A85" s="25"/>
      <c r="B85" s="25"/>
      <c r="C85" s="25"/>
      <c r="D85" s="25"/>
      <c r="E85" s="25"/>
      <c r="F85" s="25"/>
      <c r="G85" s="25"/>
      <c r="H85" s="25"/>
    </row>
    <row r="88" spans="1:87">
      <c r="R88" s="10"/>
    </row>
    <row r="91" spans="1:87">
      <c r="R91" s="10"/>
    </row>
  </sheetData>
  <sheetProtection formatCells="0" formatColumns="0" formatRows="0"/>
  <mergeCells count="2">
    <mergeCell ref="E5:E6"/>
    <mergeCell ref="A50:A58"/>
  </mergeCells>
  <printOptions headings="1"/>
  <pageMargins left="0.25" right="0.25" top="0.75" bottom="0.75" header="0.3" footer="0.3"/>
  <pageSetup paperSize="9" scale="42" fitToWidth="2" orientation="landscape" r:id="rId1"/>
  <headerFooter>
    <oddFooter>&amp;C&amp;8&amp;P / &amp;N&amp;R&amp;8&amp;D/&amp;F/&amp;A/thr</oddFooter>
  </headerFooter>
  <drawing r:id="rId2"/>
  <picture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tabColor rgb="FF00B050"/>
    <pageSetUpPr fitToPage="1"/>
  </sheetPr>
  <dimension ref="A1:CC75"/>
  <sheetViews>
    <sheetView showGridLines="0" zoomScale="75" zoomScaleNormal="75" workbookViewId="0">
      <pane xSplit="3" ySplit="12" topLeftCell="M13" activePane="bottomRight" state="frozen"/>
      <selection activeCell="BV9" activeCellId="1" sqref="BK9 BV9"/>
      <selection pane="topRight" activeCell="BV9" activeCellId="1" sqref="BK9 BV9"/>
      <selection pane="bottomLeft" activeCell="BV9" activeCellId="1" sqref="BK9 BV9"/>
      <selection pane="bottomRight" activeCell="B1" sqref="B1"/>
    </sheetView>
  </sheetViews>
  <sheetFormatPr baseColWidth="10" defaultRowHeight="12.75" outlineLevelCol="1"/>
  <cols>
    <col min="1" max="1" width="10.7109375" customWidth="1"/>
    <col min="2" max="2" width="61" style="40" customWidth="1"/>
    <col min="3" max="3" width="17.42578125" style="36" customWidth="1"/>
    <col min="13" max="13" width="15.5703125" style="7" customWidth="1" collapsed="1"/>
    <col min="53" max="53" width="15.5703125" customWidth="1" collapsed="1"/>
    <col min="66" max="66" width="15.5703125" customWidth="1" collapsed="1"/>
    <col min="67" max="70" width="15.5703125" customWidth="1"/>
    <col min="78" max="78" width="15.5703125" customWidth="1" collapsed="1"/>
    <col min="79" max="81" width="15.5703125" customWidth="1"/>
  </cols>
  <sheetData>
    <row r="1" spans="1:81" ht="26.25">
      <c r="C1" s="9" t="str">
        <f>+'KTR-Ausweis Gesamtansicht'!C1</f>
        <v>Integriertes Tarifmodell Kostenträgerrechnung (ITAR-K) CH V5.0</v>
      </c>
    </row>
    <row r="2" spans="1:81">
      <c r="C2" s="151" t="str">
        <f>+'KTR-Ausweis Gesamtansicht'!C2</f>
        <v>Nach einer Idee von Hans Isler</v>
      </c>
    </row>
    <row r="3" spans="1:81" ht="18">
      <c r="C3" s="154"/>
    </row>
    <row r="4" spans="1:81">
      <c r="C4" s="2" t="str">
        <f>+'KTR-Ausweis Gesamtansicht'!C4</f>
        <v>Kostenbasis = Kostenträgerrechnung nach REKOLE® zu Vollkosten</v>
      </c>
    </row>
    <row r="5" spans="1:81">
      <c r="C5" s="177" t="str">
        <f>+'KTR-Ausweis Gesamtansicht'!C5</f>
        <v>Modell Kostenträgerrechnung</v>
      </c>
    </row>
    <row r="8" spans="1:81" ht="23.25">
      <c r="A8" s="179">
        <f>+'KTR-Ausweis Gesamtansicht'!A8</f>
        <v>0</v>
      </c>
      <c r="C8" s="215" t="s">
        <v>152</v>
      </c>
    </row>
    <row r="9" spans="1:81" ht="18.75" thickBot="1">
      <c r="A9" s="31" t="str">
        <f>+'KTR-Ausweis Gesamtansicht'!A9</f>
        <v>Kostenträgerausweis nach REKOLE®</v>
      </c>
    </row>
    <row r="10" spans="1:81" s="74" customFormat="1" ht="51.75" thickBot="1">
      <c r="A10" s="117"/>
      <c r="B10" s="228" t="str">
        <f>+'KTR-Ausweis Gesamtansicht'!B10</f>
        <v>Kostenträgerstückrechnung 1.1.-31.12.2014</v>
      </c>
      <c r="C10" s="99"/>
      <c r="M10" s="343" t="str">
        <f>+'KTR-Ausweis Gesamtansicht'!R10</f>
        <v>Total 
stationär, SwissDRG relevant</v>
      </c>
      <c r="BA10" s="343" t="str">
        <f>+'KTR-Ausweis Gesamtansicht'!BF10</f>
        <v>Total Rehabilitation stationär</v>
      </c>
      <c r="BN10" s="343" t="str">
        <f>+'KTR-Ausweis Gesamtansicht'!BS10</f>
        <v>Total 
Psychiatrie stationär</v>
      </c>
      <c r="BO10" s="128" t="str">
        <f>+'KTR-Ausweis Gesamtansicht'!BT10</f>
        <v>geriatrische Langzeit
stationär</v>
      </c>
      <c r="BP10" s="128" t="str">
        <f>+'KTR-Ausweis Gesamtansicht'!BU10</f>
        <v>Palliativ
stationär</v>
      </c>
      <c r="BQ10" s="128" t="str">
        <f>+'KTR-Ausweis Gesamtansicht'!BV10</f>
        <v>weitere Tarife (z. B. SVK)
stationär</v>
      </c>
      <c r="BR10" s="128" t="str">
        <f>'KTR-Ausweis Gesamtansicht'!BW10</f>
        <v>Total stationär</v>
      </c>
      <c r="BZ10" s="343" t="str">
        <f>+'KTR-Ausweis Gesamtansicht'!CE10</f>
        <v>Total 
Tageskliniken Psychiatrie</v>
      </c>
      <c r="CA10" s="128" t="str">
        <f>+'KTR-Ausweis Gesamtansicht'!CF10</f>
        <v>universitäre Lehre + Forschung</v>
      </c>
      <c r="CB10" s="128" t="str">
        <f>+'KTR-Ausweis Gesamtansicht'!CG10</f>
        <v>übrige Aufträge an Dritte, inkl. GWL</v>
      </c>
      <c r="CC10" s="128" t="str">
        <f>+'KTR-Ausweis Gesamtansicht'!CH10</f>
        <v xml:space="preserve"> ambulante
Behandlung
Total</v>
      </c>
    </row>
    <row r="11" spans="1:81" s="35" customFormat="1">
      <c r="A11" s="32"/>
      <c r="B11" s="42"/>
      <c r="C11" s="38"/>
      <c r="M11" s="34"/>
      <c r="BA11" s="34"/>
      <c r="BN11" s="34"/>
      <c r="BO11" s="34"/>
      <c r="BP11" s="34"/>
      <c r="BQ11" s="34"/>
      <c r="BR11" s="34"/>
      <c r="BZ11" s="34"/>
      <c r="CA11" s="34"/>
      <c r="CB11" s="34"/>
      <c r="CC11" s="34"/>
    </row>
    <row r="12" spans="1:81" s="30" customFormat="1" ht="15">
      <c r="A12" s="65" t="str">
        <f>+'KTR-Ausweis Gesamtansicht'!A12</f>
        <v>Erlös</v>
      </c>
      <c r="B12" s="66"/>
      <c r="C12" s="67"/>
      <c r="M12" s="72"/>
      <c r="BA12" s="72"/>
      <c r="BN12" s="72"/>
      <c r="BO12" s="72"/>
      <c r="BP12" s="72"/>
      <c r="BQ12" s="72"/>
      <c r="BR12" s="72"/>
      <c r="BZ12" s="72"/>
      <c r="CA12" s="72"/>
      <c r="CB12" s="72"/>
      <c r="CC12" s="72"/>
    </row>
    <row r="13" spans="1:81" s="35" customFormat="1">
      <c r="A13" s="50">
        <f>+'KTR-Ausweis Gesamtansicht'!A13</f>
        <v>60</v>
      </c>
      <c r="B13" s="46" t="str">
        <f>+'KTR-Ausweis Gesamtansicht'!B13</f>
        <v>Erlös aus medizinischen, pflegerischen und therapeutischen Leistungen</v>
      </c>
      <c r="C13" s="33"/>
      <c r="M13" s="226"/>
      <c r="BA13" s="226"/>
      <c r="BN13" s="226"/>
      <c r="BO13" s="226"/>
      <c r="BP13" s="226"/>
      <c r="BQ13" s="226"/>
      <c r="BR13" s="226"/>
      <c r="BZ13" s="226"/>
      <c r="CA13" s="226"/>
      <c r="CB13" s="226"/>
      <c r="CC13" s="226"/>
    </row>
    <row r="14" spans="1:81" s="35" customFormat="1">
      <c r="A14" s="50">
        <f>+'KTR-Ausweis Gesamtansicht'!A14</f>
        <v>61</v>
      </c>
      <c r="B14" s="46" t="str">
        <f>+'KTR-Ausweis Gesamtansicht'!B14</f>
        <v>Ärztliche Einzelleistungen</v>
      </c>
      <c r="C14" s="33"/>
      <c r="M14" s="226"/>
      <c r="BA14" s="226"/>
      <c r="BN14" s="226"/>
      <c r="BO14" s="226"/>
      <c r="BP14" s="226"/>
      <c r="BQ14" s="226"/>
      <c r="BR14" s="226"/>
      <c r="BZ14" s="226"/>
      <c r="CA14" s="226"/>
      <c r="CB14" s="226"/>
      <c r="CC14" s="226"/>
    </row>
    <row r="15" spans="1:81" s="35" customFormat="1">
      <c r="A15" s="50">
        <f>+'KTR-Ausweis Gesamtansicht'!A15</f>
        <v>62</v>
      </c>
      <c r="B15" s="46" t="str">
        <f>+'KTR-Ausweis Gesamtansicht'!B15</f>
        <v>Übrige Spitaleinzelleistungen</v>
      </c>
      <c r="C15" s="33"/>
      <c r="M15" s="226"/>
      <c r="BA15" s="226"/>
      <c r="BN15" s="226"/>
      <c r="BO15" s="226"/>
      <c r="BP15" s="226"/>
      <c r="BQ15" s="226"/>
      <c r="BR15" s="226"/>
      <c r="BZ15" s="226"/>
      <c r="CA15" s="226"/>
      <c r="CB15" s="226"/>
      <c r="CC15" s="226"/>
    </row>
    <row r="16" spans="1:81" s="35" customFormat="1">
      <c r="A16" s="54">
        <f>+'KTR-Ausweis Gesamtansicht'!A16</f>
        <v>65</v>
      </c>
      <c r="B16" s="46" t="str">
        <f>+'KTR-Ausweis Gesamtansicht'!B16</f>
        <v>Übrige Erlöse aus Leistungen an Patienten</v>
      </c>
      <c r="C16" s="33"/>
      <c r="M16" s="226"/>
      <c r="BA16" s="226"/>
      <c r="BN16" s="226"/>
      <c r="BO16" s="226"/>
      <c r="BP16" s="226"/>
      <c r="BQ16" s="226"/>
      <c r="BR16" s="226"/>
      <c r="BZ16" s="226"/>
      <c r="CA16" s="226"/>
      <c r="CB16" s="226"/>
      <c r="CC16" s="226"/>
    </row>
    <row r="17" spans="1:81" s="35" customFormat="1">
      <c r="A17" s="54">
        <f>+'KTR-Ausweis Gesamtansicht'!A17</f>
        <v>66</v>
      </c>
      <c r="B17" s="46" t="str">
        <f>+'KTR-Ausweis Gesamtansicht'!B17</f>
        <v>Finanzerlös</v>
      </c>
      <c r="C17" s="33"/>
      <c r="M17" s="226"/>
      <c r="BA17" s="226"/>
      <c r="BN17" s="226"/>
      <c r="BO17" s="226"/>
      <c r="BP17" s="226"/>
      <c r="BQ17" s="226"/>
      <c r="BR17" s="226"/>
      <c r="BZ17" s="226"/>
      <c r="CA17" s="226"/>
      <c r="CB17" s="226"/>
      <c r="CC17" s="226"/>
    </row>
    <row r="18" spans="1:81" s="35" customFormat="1">
      <c r="A18" s="54">
        <f>+'KTR-Ausweis Gesamtansicht'!A18</f>
        <v>67</v>
      </c>
      <c r="B18" s="46" t="str">
        <f>+'KTR-Ausweis Gesamtansicht'!B18</f>
        <v>Bestandesänderungen an unfertigen und fertigen Erzeugnissen sowie an
unverrechneten Lieferungen und Leistungen</v>
      </c>
      <c r="C18" s="33"/>
      <c r="M18" s="226"/>
      <c r="BA18" s="226"/>
      <c r="BN18" s="226"/>
      <c r="BO18" s="226"/>
      <c r="BP18" s="226"/>
      <c r="BQ18" s="226"/>
      <c r="BR18" s="226"/>
      <c r="BZ18" s="226"/>
      <c r="CA18" s="226"/>
      <c r="CB18" s="226"/>
      <c r="CC18" s="226"/>
    </row>
    <row r="19" spans="1:81" s="35" customFormat="1">
      <c r="A19" s="54">
        <f>+'KTR-Ausweis Gesamtansicht'!A19</f>
        <v>68</v>
      </c>
      <c r="B19" s="46" t="str">
        <f>+'KTR-Ausweis Gesamtansicht'!B19</f>
        <v>Erlös aus Leistungen an Personal und Dritte</v>
      </c>
      <c r="C19" s="33"/>
      <c r="M19" s="226"/>
      <c r="BA19" s="226"/>
      <c r="BN19" s="226"/>
      <c r="BO19" s="226"/>
      <c r="BP19" s="226"/>
      <c r="BQ19" s="226"/>
      <c r="BR19" s="226"/>
      <c r="BZ19" s="226"/>
      <c r="CA19" s="226"/>
      <c r="CB19" s="226"/>
      <c r="CC19" s="226"/>
    </row>
    <row r="20" spans="1:81" s="35" customFormat="1">
      <c r="A20" s="54">
        <f>+'KTR-Ausweis Gesamtansicht'!A20</f>
        <v>69</v>
      </c>
      <c r="B20" s="46" t="str">
        <f>+'KTR-Ausweis Gesamtansicht'!B20</f>
        <v>Beiträge und Subventionen</v>
      </c>
      <c r="C20" s="33"/>
      <c r="M20" s="226"/>
      <c r="BA20" s="226"/>
      <c r="BN20" s="226"/>
      <c r="BO20" s="226"/>
      <c r="BP20" s="226"/>
      <c r="BQ20" s="226"/>
      <c r="BR20" s="226"/>
      <c r="BZ20" s="226"/>
      <c r="CA20" s="226"/>
      <c r="CB20" s="226"/>
      <c r="CC20" s="226"/>
    </row>
    <row r="21" spans="1:81" s="88" customFormat="1" ht="15">
      <c r="A21" s="141" t="str">
        <f>+'KTR-Ausweis Gesamtansicht'!A21</f>
        <v>Total Erlös</v>
      </c>
      <c r="B21" s="89"/>
      <c r="C21" s="100"/>
      <c r="M21" s="130"/>
      <c r="BA21" s="130"/>
      <c r="BN21" s="130"/>
      <c r="BO21" s="130"/>
      <c r="BP21" s="130"/>
      <c r="BQ21" s="130"/>
      <c r="BR21" s="130"/>
      <c r="BZ21" s="130"/>
      <c r="CA21" s="130"/>
      <c r="CB21" s="130"/>
      <c r="CC21" s="130"/>
    </row>
    <row r="22" spans="1:81" s="88" customFormat="1" ht="15">
      <c r="A22" s="85"/>
      <c r="B22" s="85"/>
      <c r="C22" s="86"/>
      <c r="M22" s="87"/>
      <c r="BA22" s="87"/>
      <c r="BN22" s="87"/>
      <c r="BO22" s="87"/>
      <c r="BP22" s="87"/>
      <c r="BQ22" s="87"/>
      <c r="BR22" s="87"/>
      <c r="BZ22" s="87"/>
      <c r="CA22" s="87"/>
      <c r="CB22" s="87"/>
      <c r="CC22" s="87"/>
    </row>
    <row r="23" spans="1:81" s="30" customFormat="1" ht="15">
      <c r="A23" s="65" t="str">
        <f>+'KTR-Ausweis Gesamtansicht'!A23</f>
        <v>Einzelkosten</v>
      </c>
      <c r="B23" s="66"/>
      <c r="C23" s="67" t="str">
        <f>+'KTR-Ausweis Gesamtansicht'!C23</f>
        <v>Bezugsgrösse</v>
      </c>
      <c r="M23" s="131"/>
      <c r="BA23" s="131"/>
      <c r="BN23" s="131"/>
      <c r="BO23" s="131"/>
      <c r="BP23" s="131"/>
      <c r="BQ23" s="131"/>
      <c r="BR23" s="131"/>
      <c r="BZ23" s="131"/>
      <c r="CA23" s="131"/>
      <c r="CB23" s="131"/>
      <c r="CC23" s="131"/>
    </row>
    <row r="24" spans="1:81" s="51" customFormat="1" ht="12">
      <c r="A24" s="41" t="str">
        <f>+'KTR-Ausweis Gesamtansicht'!A24</f>
        <v>Medizinischer Bedarf</v>
      </c>
      <c r="B24" s="41"/>
      <c r="C24" s="37"/>
      <c r="M24" s="132"/>
      <c r="BA24" s="132"/>
      <c r="BN24" s="132"/>
      <c r="BO24" s="132"/>
      <c r="BP24" s="132"/>
      <c r="BQ24" s="132"/>
      <c r="BR24" s="132"/>
      <c r="BZ24" s="132"/>
      <c r="CA24" s="132"/>
      <c r="CB24" s="132"/>
      <c r="CC24" s="132"/>
    </row>
    <row r="25" spans="1:81" s="55" customFormat="1" ht="12">
      <c r="A25" s="805">
        <v>400</v>
      </c>
      <c r="B25" s="43" t="s">
        <v>1343</v>
      </c>
      <c r="C25" s="1507" t="s">
        <v>66</v>
      </c>
      <c r="M25" s="57">
        <f>+'KTR-Ausweis Gesamtansicht'!R25</f>
        <v>0</v>
      </c>
      <c r="BA25" s="57">
        <f>+'KTR-Ausweis Gesamtansicht'!BF25</f>
        <v>0</v>
      </c>
      <c r="BN25" s="57">
        <f>+'KTR-Ausweis Gesamtansicht'!BS25</f>
        <v>0</v>
      </c>
      <c r="BO25" s="57">
        <f>+'KTR-Ausweis Gesamtansicht'!BT25</f>
        <v>0</v>
      </c>
      <c r="BP25" s="57">
        <f>+'KTR-Ausweis Gesamtansicht'!BU25</f>
        <v>0</v>
      </c>
      <c r="BQ25" s="57">
        <f>+'KTR-Ausweis Gesamtansicht'!BV25</f>
        <v>0</v>
      </c>
      <c r="BR25" s="57">
        <f>+'KTR-Ausweis Gesamtansicht'!BW25</f>
        <v>0</v>
      </c>
      <c r="BZ25" s="57">
        <f>+'KTR-Ausweis Gesamtansicht'!CE25</f>
        <v>0</v>
      </c>
      <c r="CA25" s="57">
        <f>+'KTR-Ausweis Gesamtansicht'!CF25</f>
        <v>0</v>
      </c>
      <c r="CB25" s="57">
        <f>+'KTR-Ausweis Gesamtansicht'!CG25</f>
        <v>0</v>
      </c>
      <c r="CC25" s="57">
        <f>+'KTR-Ausweis Gesamtansicht'!CH25</f>
        <v>0</v>
      </c>
    </row>
    <row r="26" spans="1:81" s="55" customFormat="1" ht="12">
      <c r="A26" s="806"/>
      <c r="B26" s="42" t="s">
        <v>1342</v>
      </c>
      <c r="C26" s="1508"/>
      <c r="M26" s="57">
        <f>+'KTR-Ausweis Gesamtansicht'!R26</f>
        <v>0</v>
      </c>
      <c r="BA26" s="57">
        <f>+'KTR-Ausweis Gesamtansicht'!BF26</f>
        <v>0</v>
      </c>
      <c r="BN26" s="57">
        <f>+'KTR-Ausweis Gesamtansicht'!BS26</f>
        <v>0</v>
      </c>
      <c r="BO26" s="57">
        <f>+'KTR-Ausweis Gesamtansicht'!BT26</f>
        <v>0</v>
      </c>
      <c r="BP26" s="57">
        <f>+'KTR-Ausweis Gesamtansicht'!BU26</f>
        <v>0</v>
      </c>
      <c r="BQ26" s="57">
        <f>+'KTR-Ausweis Gesamtansicht'!BV26</f>
        <v>0</v>
      </c>
      <c r="BR26" s="57">
        <f>+'KTR-Ausweis Gesamtansicht'!BW26</f>
        <v>0</v>
      </c>
      <c r="BZ26" s="57">
        <f>+'KTR-Ausweis Gesamtansicht'!CE26</f>
        <v>0</v>
      </c>
      <c r="CA26" s="57">
        <f>+'KTR-Ausweis Gesamtansicht'!CF26</f>
        <v>0</v>
      </c>
      <c r="CB26" s="57">
        <f>+'KTR-Ausweis Gesamtansicht'!CG26</f>
        <v>0</v>
      </c>
      <c r="CC26" s="57">
        <f>+'KTR-Ausweis Gesamtansicht'!CH26</f>
        <v>0</v>
      </c>
    </row>
    <row r="27" spans="1:81" s="55" customFormat="1" ht="12">
      <c r="A27" s="806">
        <v>401</v>
      </c>
      <c r="B27" s="804" t="s">
        <v>1345</v>
      </c>
      <c r="C27" s="1508"/>
      <c r="M27" s="57">
        <f>+'KTR-Ausweis Gesamtansicht'!R27</f>
        <v>0</v>
      </c>
      <c r="BA27" s="57">
        <f>+'KTR-Ausweis Gesamtansicht'!BF27</f>
        <v>0</v>
      </c>
      <c r="BN27" s="57">
        <f>+'KTR-Ausweis Gesamtansicht'!BS27</f>
        <v>0</v>
      </c>
      <c r="BO27" s="57">
        <f>+'KTR-Ausweis Gesamtansicht'!BT27</f>
        <v>0</v>
      </c>
      <c r="BP27" s="57">
        <f>+'KTR-Ausweis Gesamtansicht'!BU27</f>
        <v>0</v>
      </c>
      <c r="BQ27" s="57">
        <f>+'KTR-Ausweis Gesamtansicht'!BV27</f>
        <v>0</v>
      </c>
      <c r="BR27" s="57">
        <f>+'KTR-Ausweis Gesamtansicht'!BW27</f>
        <v>0</v>
      </c>
      <c r="BZ27" s="57">
        <f>+'KTR-Ausweis Gesamtansicht'!CE27</f>
        <v>0</v>
      </c>
      <c r="CA27" s="57">
        <f>+'KTR-Ausweis Gesamtansicht'!CF27</f>
        <v>0</v>
      </c>
      <c r="CB27" s="57">
        <f>+'KTR-Ausweis Gesamtansicht'!CG27</f>
        <v>0</v>
      </c>
      <c r="CC27" s="57">
        <f>+'KTR-Ausweis Gesamtansicht'!CH27</f>
        <v>0</v>
      </c>
    </row>
    <row r="28" spans="1:81" s="55" customFormat="1" ht="12">
      <c r="A28" s="806"/>
      <c r="B28" s="42" t="s">
        <v>1344</v>
      </c>
      <c r="C28" s="1509"/>
      <c r="M28" s="57">
        <f>+'KTR-Ausweis Gesamtansicht'!R28</f>
        <v>0</v>
      </c>
      <c r="BA28" s="57">
        <f>+'KTR-Ausweis Gesamtansicht'!BF28</f>
        <v>0</v>
      </c>
      <c r="BN28" s="57">
        <f>+'KTR-Ausweis Gesamtansicht'!BS28</f>
        <v>0</v>
      </c>
      <c r="BO28" s="57">
        <f>+'KTR-Ausweis Gesamtansicht'!BT28</f>
        <v>0</v>
      </c>
      <c r="BP28" s="57">
        <f>+'KTR-Ausweis Gesamtansicht'!BU28</f>
        <v>0</v>
      </c>
      <c r="BQ28" s="57">
        <f>+'KTR-Ausweis Gesamtansicht'!BV28</f>
        <v>0</v>
      </c>
      <c r="BR28" s="57">
        <f>+'KTR-Ausweis Gesamtansicht'!BW28</f>
        <v>0</v>
      </c>
      <c r="BZ28" s="57">
        <f>+'KTR-Ausweis Gesamtansicht'!CE28</f>
        <v>0</v>
      </c>
      <c r="CA28" s="57">
        <f>+'KTR-Ausweis Gesamtansicht'!CF28</f>
        <v>0</v>
      </c>
      <c r="CB28" s="57">
        <f>+'KTR-Ausweis Gesamtansicht'!CG28</f>
        <v>0</v>
      </c>
      <c r="CC28" s="57">
        <f>+'KTR-Ausweis Gesamtansicht'!CH28</f>
        <v>0</v>
      </c>
    </row>
    <row r="29" spans="1:81" s="55" customFormat="1" ht="12">
      <c r="A29" s="218">
        <f>+'KTR-Ausweis Gesamtansicht'!A29</f>
        <v>405</v>
      </c>
      <c r="B29" s="44" t="str">
        <f>+'KTR-Ausweis Gesamtansicht'!B29</f>
        <v>Medizinische, diagn. und therap. Fremdleistungen (exkl. Artzhonorare)</v>
      </c>
      <c r="C29" s="1506" t="str">
        <f>+'KTR-Ausweis Gesamtansicht'!C29</f>
        <v>Faktura</v>
      </c>
      <c r="M29" s="57">
        <f>+'KTR-Ausweis Gesamtansicht'!R29</f>
        <v>0</v>
      </c>
      <c r="BA29" s="57">
        <f>+'KTR-Ausweis Gesamtansicht'!BF29</f>
        <v>0</v>
      </c>
      <c r="BN29" s="57">
        <f>+'KTR-Ausweis Gesamtansicht'!BS29</f>
        <v>0</v>
      </c>
      <c r="BO29" s="57">
        <f>+'KTR-Ausweis Gesamtansicht'!BT29</f>
        <v>0</v>
      </c>
      <c r="BP29" s="57">
        <f>+'KTR-Ausweis Gesamtansicht'!BU29</f>
        <v>0</v>
      </c>
      <c r="BQ29" s="57">
        <f>+'KTR-Ausweis Gesamtansicht'!BV29</f>
        <v>0</v>
      </c>
      <c r="BR29" s="57">
        <f>+'KTR-Ausweis Gesamtansicht'!BW29</f>
        <v>0</v>
      </c>
      <c r="BZ29" s="57">
        <f>+'KTR-Ausweis Gesamtansicht'!CE29</f>
        <v>0</v>
      </c>
      <c r="CA29" s="57">
        <f>+'KTR-Ausweis Gesamtansicht'!CF29</f>
        <v>0</v>
      </c>
      <c r="CB29" s="57">
        <f>+'KTR-Ausweis Gesamtansicht'!CG29</f>
        <v>0</v>
      </c>
      <c r="CC29" s="57">
        <f>+'KTR-Ausweis Gesamtansicht'!CH29</f>
        <v>0</v>
      </c>
    </row>
    <row r="30" spans="1:81" s="55" customFormat="1" ht="12">
      <c r="A30" s="219"/>
      <c r="B30" s="45" t="str">
        <f>+'KTR-Ausweis Gesamtansicht'!B30</f>
        <v>Arzthonorare (nicht sozialversicherungspflichtig)</v>
      </c>
      <c r="C30" s="1506">
        <f>+'KTR-Ausweis Gesamtansicht'!C30</f>
        <v>0</v>
      </c>
      <c r="M30" s="57">
        <f>+'KTR-Ausweis Gesamtansicht'!R30</f>
        <v>0</v>
      </c>
      <c r="BA30" s="57">
        <f>+'KTR-Ausweis Gesamtansicht'!BF30</f>
        <v>0</v>
      </c>
      <c r="BN30" s="57">
        <f>+'KTR-Ausweis Gesamtansicht'!BS30</f>
        <v>0</v>
      </c>
      <c r="BO30" s="57">
        <f>+'KTR-Ausweis Gesamtansicht'!BT30</f>
        <v>0</v>
      </c>
      <c r="BP30" s="57">
        <f>+'KTR-Ausweis Gesamtansicht'!BU30</f>
        <v>0</v>
      </c>
      <c r="BQ30" s="57">
        <f>+'KTR-Ausweis Gesamtansicht'!BV30</f>
        <v>0</v>
      </c>
      <c r="BR30" s="57">
        <f>+'KTR-Ausweis Gesamtansicht'!BW30</f>
        <v>0</v>
      </c>
      <c r="BZ30" s="57">
        <f>+'KTR-Ausweis Gesamtansicht'!CE30</f>
        <v>0</v>
      </c>
      <c r="CA30" s="57">
        <f>+'KTR-Ausweis Gesamtansicht'!CF30</f>
        <v>0</v>
      </c>
      <c r="CB30" s="57">
        <f>+'KTR-Ausweis Gesamtansicht'!CG30</f>
        <v>0</v>
      </c>
      <c r="CC30" s="57">
        <f>+'KTR-Ausweis Gesamtansicht'!CH30</f>
        <v>0</v>
      </c>
    </row>
    <row r="31" spans="1:81" s="51" customFormat="1" ht="12">
      <c r="A31" s="41" t="str">
        <f>+'KTR-Ausweis Gesamtansicht'!A31</f>
        <v>Arzthonorarkosten (sozialversicherungspflichtig)</v>
      </c>
      <c r="B31" s="42"/>
      <c r="C31" s="38"/>
      <c r="M31" s="56"/>
      <c r="BA31" s="56"/>
      <c r="BN31" s="56"/>
      <c r="BO31" s="56"/>
      <c r="BP31" s="56"/>
      <c r="BQ31" s="56"/>
      <c r="BR31" s="56"/>
      <c r="BZ31" s="56"/>
      <c r="CA31" s="56"/>
      <c r="CB31" s="56"/>
      <c r="CC31" s="56"/>
    </row>
    <row r="32" spans="1:81" s="55" customFormat="1" ht="12">
      <c r="A32" s="217">
        <f>+'KTR-Ausweis Gesamtansicht'!A32</f>
        <v>380</v>
      </c>
      <c r="B32" s="43" t="str">
        <f>+'KTR-Ausweis Gesamtansicht'!B32</f>
        <v>Arzthonorar, Spitalärzte</v>
      </c>
      <c r="C32" s="1506" t="str">
        <f>+'KTR-Ausweis Gesamtansicht'!C32</f>
        <v>CHF, gemäss Vertrag</v>
      </c>
      <c r="M32" s="57">
        <f>+'KTR-Ausweis Gesamtansicht'!R32</f>
        <v>0</v>
      </c>
      <c r="BA32" s="57">
        <f>+'KTR-Ausweis Gesamtansicht'!BF32</f>
        <v>0</v>
      </c>
      <c r="BN32" s="57">
        <f>+'KTR-Ausweis Gesamtansicht'!BS32</f>
        <v>0</v>
      </c>
      <c r="BO32" s="57">
        <f>+'KTR-Ausweis Gesamtansicht'!BT32</f>
        <v>0</v>
      </c>
      <c r="BP32" s="57">
        <f>+'KTR-Ausweis Gesamtansicht'!BU32</f>
        <v>0</v>
      </c>
      <c r="BQ32" s="57">
        <f>+'KTR-Ausweis Gesamtansicht'!BV32</f>
        <v>0</v>
      </c>
      <c r="BR32" s="57">
        <f>+'KTR-Ausweis Gesamtansicht'!BW32</f>
        <v>0</v>
      </c>
      <c r="BZ32" s="57">
        <f>+'KTR-Ausweis Gesamtansicht'!CE32</f>
        <v>0</v>
      </c>
      <c r="CA32" s="57">
        <f>+'KTR-Ausweis Gesamtansicht'!CF32</f>
        <v>0</v>
      </c>
      <c r="CB32" s="57">
        <f>+'KTR-Ausweis Gesamtansicht'!CG32</f>
        <v>0</v>
      </c>
      <c r="CC32" s="57">
        <f>+'KTR-Ausweis Gesamtansicht'!CH32</f>
        <v>0</v>
      </c>
    </row>
    <row r="33" spans="1:81" s="55" customFormat="1" ht="12">
      <c r="A33" s="218">
        <f>+'KTR-Ausweis Gesamtansicht'!A33</f>
        <v>381</v>
      </c>
      <c r="B33" s="41" t="str">
        <f>+'KTR-Ausweis Gesamtansicht'!B33</f>
        <v>Arzthonorar, Belegärzte</v>
      </c>
      <c r="C33" s="1506">
        <f>+'KTR-Ausweis Gesamtansicht'!C33</f>
        <v>0</v>
      </c>
      <c r="M33" s="57">
        <f>+'KTR-Ausweis Gesamtansicht'!R33</f>
        <v>0</v>
      </c>
      <c r="BA33" s="57">
        <f>+'KTR-Ausweis Gesamtansicht'!BF33</f>
        <v>0</v>
      </c>
      <c r="BN33" s="57">
        <f>+'KTR-Ausweis Gesamtansicht'!BS33</f>
        <v>0</v>
      </c>
      <c r="BO33" s="57">
        <f>+'KTR-Ausweis Gesamtansicht'!BT33</f>
        <v>0</v>
      </c>
      <c r="BP33" s="57">
        <f>+'KTR-Ausweis Gesamtansicht'!BU33</f>
        <v>0</v>
      </c>
      <c r="BQ33" s="57">
        <f>+'KTR-Ausweis Gesamtansicht'!BV33</f>
        <v>0</v>
      </c>
      <c r="BR33" s="57">
        <f>+'KTR-Ausweis Gesamtansicht'!BW33</f>
        <v>0</v>
      </c>
      <c r="BZ33" s="57">
        <f>+'KTR-Ausweis Gesamtansicht'!CE33</f>
        <v>0</v>
      </c>
      <c r="CA33" s="57">
        <f>+'KTR-Ausweis Gesamtansicht'!CF33</f>
        <v>0</v>
      </c>
      <c r="CB33" s="57">
        <f>+'KTR-Ausweis Gesamtansicht'!CG33</f>
        <v>0</v>
      </c>
      <c r="CC33" s="57">
        <f>+'KTR-Ausweis Gesamtansicht'!CH33</f>
        <v>0</v>
      </c>
    </row>
    <row r="34" spans="1:81" s="51" customFormat="1" ht="12">
      <c r="A34" s="41" t="str">
        <f>+'KTR-Ausweis Gesamtansicht'!A34</f>
        <v>Übrige Einzelkosten</v>
      </c>
      <c r="B34" s="46"/>
      <c r="C34" s="37"/>
      <c r="M34" s="58"/>
      <c r="BA34" s="58"/>
      <c r="BN34" s="58"/>
      <c r="BO34" s="58"/>
      <c r="BP34" s="58"/>
      <c r="BQ34" s="58"/>
      <c r="BR34" s="58"/>
      <c r="BZ34" s="58"/>
      <c r="CA34" s="58"/>
      <c r="CB34" s="58"/>
      <c r="CC34" s="58"/>
    </row>
    <row r="35" spans="1:81" s="55" customFormat="1" ht="12">
      <c r="A35" s="218">
        <f>+'KTR-Ausweis Gesamtansicht'!A35</f>
        <v>480</v>
      </c>
      <c r="B35" s="41" t="str">
        <f>+'KTR-Ausweis Gesamtansicht'!B35</f>
        <v>Patiententransporte durch Dritte</v>
      </c>
      <c r="C35" s="33" t="str">
        <f>+'KTR-Ausweis Gesamtansicht'!C35</f>
        <v>Faktura</v>
      </c>
      <c r="M35" s="57">
        <f>+'KTR-Ausweis Gesamtansicht'!R35</f>
        <v>0</v>
      </c>
      <c r="BA35" s="57">
        <f>+'KTR-Ausweis Gesamtansicht'!BF35</f>
        <v>0</v>
      </c>
      <c r="BN35" s="57">
        <f>+'KTR-Ausweis Gesamtansicht'!BS35</f>
        <v>0</v>
      </c>
      <c r="BO35" s="57">
        <f>+'KTR-Ausweis Gesamtansicht'!BT35</f>
        <v>0</v>
      </c>
      <c r="BP35" s="57">
        <f>+'KTR-Ausweis Gesamtansicht'!BU35</f>
        <v>0</v>
      </c>
      <c r="BQ35" s="57">
        <f>+'KTR-Ausweis Gesamtansicht'!BV35</f>
        <v>0</v>
      </c>
      <c r="BR35" s="57">
        <f>+'KTR-Ausweis Gesamtansicht'!BW35</f>
        <v>0</v>
      </c>
      <c r="BZ35" s="57">
        <f>+'KTR-Ausweis Gesamtansicht'!CE35</f>
        <v>0</v>
      </c>
      <c r="CA35" s="57">
        <f>+'KTR-Ausweis Gesamtansicht'!CF35</f>
        <v>0</v>
      </c>
      <c r="CB35" s="57">
        <f>+'KTR-Ausweis Gesamtansicht'!CG35</f>
        <v>0</v>
      </c>
      <c r="CC35" s="57">
        <f>+'KTR-Ausweis Gesamtansicht'!CH35</f>
        <v>0</v>
      </c>
    </row>
    <row r="36" spans="1:81" s="55" customFormat="1" ht="12">
      <c r="A36" s="218">
        <f>+'KTR-Ausweis Gesamtansicht'!A36</f>
        <v>485</v>
      </c>
      <c r="B36" s="41" t="str">
        <f>+'KTR-Ausweis Gesamtansicht'!B36</f>
        <v>Übrige patientenbezogene Fremdleistungen</v>
      </c>
      <c r="C36" s="33" t="str">
        <f>+'KTR-Ausweis Gesamtansicht'!C36</f>
        <v>Faktura</v>
      </c>
      <c r="M36" s="57">
        <f>+'KTR-Ausweis Gesamtansicht'!R36</f>
        <v>0</v>
      </c>
      <c r="BA36" s="57">
        <f>+'KTR-Ausweis Gesamtansicht'!BF36</f>
        <v>0</v>
      </c>
      <c r="BN36" s="57">
        <f>+'KTR-Ausweis Gesamtansicht'!BS36</f>
        <v>0</v>
      </c>
      <c r="BO36" s="57">
        <f>+'KTR-Ausweis Gesamtansicht'!BT36</f>
        <v>0</v>
      </c>
      <c r="BP36" s="57">
        <f>+'KTR-Ausweis Gesamtansicht'!BU36</f>
        <v>0</v>
      </c>
      <c r="BQ36" s="57">
        <f>+'KTR-Ausweis Gesamtansicht'!BV36</f>
        <v>0</v>
      </c>
      <c r="BR36" s="57">
        <f>+'KTR-Ausweis Gesamtansicht'!BW36</f>
        <v>0</v>
      </c>
      <c r="BZ36" s="57">
        <f>+'KTR-Ausweis Gesamtansicht'!CE36</f>
        <v>0</v>
      </c>
      <c r="CA36" s="57">
        <f>+'KTR-Ausweis Gesamtansicht'!CF36</f>
        <v>0</v>
      </c>
      <c r="CB36" s="57">
        <f>+'KTR-Ausweis Gesamtansicht'!CG36</f>
        <v>0</v>
      </c>
      <c r="CC36" s="57">
        <f>+'KTR-Ausweis Gesamtansicht'!CH36</f>
        <v>0</v>
      </c>
    </row>
    <row r="37" spans="1:81" s="55" customFormat="1" ht="12">
      <c r="A37" s="218">
        <f>+'KTR-Ausweis Gesamtansicht'!A37</f>
        <v>486</v>
      </c>
      <c r="B37" s="41" t="str">
        <f>+'KTR-Ausweis Gesamtansicht'!B37</f>
        <v>Übrige Auslagen für Patienten</v>
      </c>
      <c r="C37" s="33" t="str">
        <f>+'KTR-Ausweis Gesamtansicht'!C37</f>
        <v>Faktura</v>
      </c>
      <c r="M37" s="57">
        <f>+'KTR-Ausweis Gesamtansicht'!R37</f>
        <v>0</v>
      </c>
      <c r="BA37" s="57">
        <f>+'KTR-Ausweis Gesamtansicht'!BF37</f>
        <v>0</v>
      </c>
      <c r="BN37" s="57">
        <f>+'KTR-Ausweis Gesamtansicht'!BS37</f>
        <v>0</v>
      </c>
      <c r="BO37" s="57">
        <f>+'KTR-Ausweis Gesamtansicht'!BT37</f>
        <v>0</v>
      </c>
      <c r="BP37" s="57">
        <f>+'KTR-Ausweis Gesamtansicht'!BU37</f>
        <v>0</v>
      </c>
      <c r="BQ37" s="57">
        <f>+'KTR-Ausweis Gesamtansicht'!BV37</f>
        <v>0</v>
      </c>
      <c r="BR37" s="57">
        <f>+'KTR-Ausweis Gesamtansicht'!BW37</f>
        <v>0</v>
      </c>
      <c r="BZ37" s="57">
        <f>+'KTR-Ausweis Gesamtansicht'!CE37</f>
        <v>0</v>
      </c>
      <c r="CA37" s="57">
        <f>+'KTR-Ausweis Gesamtansicht'!CF37</f>
        <v>0</v>
      </c>
      <c r="CB37" s="57">
        <f>+'KTR-Ausweis Gesamtansicht'!CG37</f>
        <v>0</v>
      </c>
      <c r="CC37" s="57">
        <f>+'KTR-Ausweis Gesamtansicht'!CH37</f>
        <v>0</v>
      </c>
    </row>
    <row r="38" spans="1:81" s="98" customFormat="1" ht="11.25">
      <c r="A38" s="95" t="str">
        <f>+'KTR-Ausweis Gesamtansicht'!A38</f>
        <v>Total Einzelkosten</v>
      </c>
      <c r="B38" s="96"/>
      <c r="C38" s="101"/>
      <c r="M38" s="97">
        <f>+'KTR-Ausweis Gesamtansicht'!R38</f>
        <v>0</v>
      </c>
      <c r="BA38" s="97">
        <f>+'KTR-Ausweis Gesamtansicht'!BF38</f>
        <v>0</v>
      </c>
      <c r="BN38" s="97">
        <f>+'KTR-Ausweis Gesamtansicht'!BS38</f>
        <v>0</v>
      </c>
      <c r="BO38" s="97">
        <f>+'KTR-Ausweis Gesamtansicht'!BT38</f>
        <v>0</v>
      </c>
      <c r="BP38" s="97">
        <f>+'KTR-Ausweis Gesamtansicht'!BU38</f>
        <v>0</v>
      </c>
      <c r="BQ38" s="97">
        <f>+'KTR-Ausweis Gesamtansicht'!BV38</f>
        <v>0</v>
      </c>
      <c r="BR38" s="97">
        <f>+'KTR-Ausweis Gesamtansicht'!BW38</f>
        <v>0</v>
      </c>
      <c r="BZ38" s="97">
        <f>+'KTR-Ausweis Gesamtansicht'!CE38</f>
        <v>0</v>
      </c>
      <c r="CA38" s="97">
        <f>+'KTR-Ausweis Gesamtansicht'!CF38</f>
        <v>0</v>
      </c>
      <c r="CB38" s="97">
        <f>+'KTR-Ausweis Gesamtansicht'!CG38</f>
        <v>0</v>
      </c>
      <c r="CC38" s="97">
        <f>+'KTR-Ausweis Gesamtansicht'!CH38</f>
        <v>0</v>
      </c>
    </row>
    <row r="39" spans="1:81" s="51" customFormat="1" ht="12">
      <c r="A39" s="42"/>
      <c r="B39" s="42"/>
      <c r="C39" s="38"/>
      <c r="M39" s="68"/>
      <c r="BA39" s="68"/>
      <c r="BN39" s="68"/>
      <c r="BO39" s="68"/>
      <c r="BP39" s="68"/>
      <c r="BQ39" s="68"/>
      <c r="BR39" s="68"/>
      <c r="BZ39" s="68"/>
      <c r="CA39" s="68"/>
      <c r="CB39" s="68"/>
      <c r="CC39" s="68"/>
    </row>
    <row r="40" spans="1:81" s="48" customFormat="1" ht="15">
      <c r="A40" s="69" t="str">
        <f>+'KTR-Ausweis Gesamtansicht'!A40</f>
        <v>Gemeinkosten</v>
      </c>
      <c r="B40" s="70"/>
      <c r="C40" s="71" t="str">
        <f>+'KTR-Ausweis Gesamtansicht'!C40</f>
        <v>Bezugsgrösse</v>
      </c>
      <c r="M40" s="84">
        <f>+'KTR-Ausweis Gesamtansicht'!R40</f>
        <v>0</v>
      </c>
      <c r="BA40" s="84">
        <f>+'KTR-Ausweis Gesamtansicht'!BF40</f>
        <v>0</v>
      </c>
      <c r="BN40" s="84">
        <f>+'KTR-Ausweis Gesamtansicht'!BS40</f>
        <v>0</v>
      </c>
      <c r="BO40" s="84">
        <f>+'KTR-Ausweis Gesamtansicht'!BT40</f>
        <v>0</v>
      </c>
      <c r="BP40" s="84">
        <f>+'KTR-Ausweis Gesamtansicht'!BU40</f>
        <v>0</v>
      </c>
      <c r="BQ40" s="84">
        <f>+'KTR-Ausweis Gesamtansicht'!BV40</f>
        <v>0</v>
      </c>
      <c r="BR40" s="84"/>
      <c r="BZ40" s="84">
        <f>+'KTR-Ausweis Gesamtansicht'!CE40</f>
        <v>0</v>
      </c>
      <c r="CA40" s="84">
        <f>+'KTR-Ausweis Gesamtansicht'!CF40</f>
        <v>0</v>
      </c>
      <c r="CB40" s="84">
        <f>+'KTR-Ausweis Gesamtansicht'!CG40</f>
        <v>0</v>
      </c>
      <c r="CC40" s="84">
        <f>+'KTR-Ausweis Gesamtansicht'!CH40</f>
        <v>0</v>
      </c>
    </row>
    <row r="41" spans="1:81" s="51" customFormat="1" ht="12">
      <c r="A41" s="143" t="str">
        <f>+'KTR-Ausweis Gesamtansicht'!A41</f>
        <v>Kostenstellen</v>
      </c>
      <c r="C41" s="73"/>
      <c r="M41" s="133"/>
      <c r="BA41" s="133"/>
      <c r="BN41" s="133"/>
      <c r="BO41" s="133"/>
      <c r="BP41" s="133"/>
      <c r="BQ41" s="133"/>
      <c r="BR41" s="133"/>
      <c r="BZ41" s="133"/>
      <c r="CA41" s="133"/>
      <c r="CB41" s="133"/>
      <c r="CC41" s="133"/>
    </row>
    <row r="42" spans="1:81" s="55" customFormat="1" ht="12">
      <c r="A42" s="218">
        <f>+'KTR-Ausweis Gesamtansicht'!A42</f>
        <v>10</v>
      </c>
      <c r="B42" s="142" t="str">
        <f>+'KTR-Ausweis Gesamtansicht'!B42</f>
        <v>Patientenadministration</v>
      </c>
      <c r="C42" s="33" t="str">
        <f>+'KTR-Ausweis Gesamtansicht'!C42</f>
        <v>administrativer Fall</v>
      </c>
      <c r="M42" s="57">
        <f>+'KTR-Ausweis Gesamtansicht'!R42</f>
        <v>0</v>
      </c>
      <c r="BA42" s="57">
        <f>+'KTR-Ausweis Gesamtansicht'!BF42</f>
        <v>0</v>
      </c>
      <c r="BN42" s="57">
        <f>+'KTR-Ausweis Gesamtansicht'!BS42</f>
        <v>0</v>
      </c>
      <c r="BO42" s="57">
        <f>+'KTR-Ausweis Gesamtansicht'!BT42</f>
        <v>0</v>
      </c>
      <c r="BP42" s="57">
        <f>+'KTR-Ausweis Gesamtansicht'!BU42</f>
        <v>0</v>
      </c>
      <c r="BQ42" s="57">
        <f>+'KTR-Ausweis Gesamtansicht'!BV42</f>
        <v>0</v>
      </c>
      <c r="BR42" s="57">
        <f>+'KTR-Ausweis Gesamtansicht'!BW42</f>
        <v>0</v>
      </c>
      <c r="BZ42" s="57">
        <f>+'KTR-Ausweis Gesamtansicht'!CE42</f>
        <v>0</v>
      </c>
      <c r="CA42" s="57">
        <f>+'KTR-Ausweis Gesamtansicht'!CF42</f>
        <v>0</v>
      </c>
      <c r="CB42" s="57">
        <f>+'KTR-Ausweis Gesamtansicht'!CG42</f>
        <v>0</v>
      </c>
      <c r="CC42" s="57">
        <f>+'KTR-Ausweis Gesamtansicht'!CH42</f>
        <v>0</v>
      </c>
    </row>
    <row r="43" spans="1:81" s="55" customFormat="1" ht="12">
      <c r="A43" s="218">
        <f>+'KTR-Ausweis Gesamtansicht'!A43</f>
        <v>20</v>
      </c>
      <c r="B43" s="142" t="str">
        <f>+'KTR-Ausweis Gesamtansicht'!B43</f>
        <v>OPS-Säle</v>
      </c>
      <c r="C43" s="33" t="str">
        <f>+'KTR-Ausweis Gesamtansicht'!C43</f>
        <v>TP und Min.</v>
      </c>
      <c r="M43" s="57">
        <f>+'KTR-Ausweis Gesamtansicht'!R43</f>
        <v>0</v>
      </c>
      <c r="BA43" s="57">
        <f>+'KTR-Ausweis Gesamtansicht'!BF43</f>
        <v>0</v>
      </c>
      <c r="BN43" s="57">
        <f>+'KTR-Ausweis Gesamtansicht'!BS43</f>
        <v>0</v>
      </c>
      <c r="BO43" s="57">
        <f>+'KTR-Ausweis Gesamtansicht'!BT43</f>
        <v>0</v>
      </c>
      <c r="BP43" s="57">
        <f>+'KTR-Ausweis Gesamtansicht'!BU43</f>
        <v>0</v>
      </c>
      <c r="BQ43" s="57">
        <f>+'KTR-Ausweis Gesamtansicht'!BV43</f>
        <v>0</v>
      </c>
      <c r="BR43" s="57">
        <f>+'KTR-Ausweis Gesamtansicht'!BW43</f>
        <v>0</v>
      </c>
      <c r="BZ43" s="57">
        <f>+'KTR-Ausweis Gesamtansicht'!CE43</f>
        <v>0</v>
      </c>
      <c r="CA43" s="57">
        <f>+'KTR-Ausweis Gesamtansicht'!CF43</f>
        <v>0</v>
      </c>
      <c r="CB43" s="57">
        <f>+'KTR-Ausweis Gesamtansicht'!CG43</f>
        <v>0</v>
      </c>
      <c r="CC43" s="57">
        <f>+'KTR-Ausweis Gesamtansicht'!CH43</f>
        <v>0</v>
      </c>
    </row>
    <row r="44" spans="1:81" s="55" customFormat="1" ht="12">
      <c r="A44" s="218">
        <f>+'KTR-Ausweis Gesamtansicht'!A44</f>
        <v>23</v>
      </c>
      <c r="B44" s="142" t="str">
        <f>+'KTR-Ausweis Gesamtansicht'!B44</f>
        <v>Anästhesie (inkl. Ärzteschaft)</v>
      </c>
      <c r="C44" s="33" t="str">
        <f>+'KTR-Ausweis Gesamtansicht'!C44</f>
        <v>TP und Min.</v>
      </c>
      <c r="M44" s="57">
        <f>+'KTR-Ausweis Gesamtansicht'!R44</f>
        <v>0</v>
      </c>
      <c r="BA44" s="57">
        <f>+'KTR-Ausweis Gesamtansicht'!BF44</f>
        <v>0</v>
      </c>
      <c r="BN44" s="57">
        <f>+'KTR-Ausweis Gesamtansicht'!BS44</f>
        <v>0</v>
      </c>
      <c r="BO44" s="57">
        <f>+'KTR-Ausweis Gesamtansicht'!BT44</f>
        <v>0</v>
      </c>
      <c r="BP44" s="57">
        <f>+'KTR-Ausweis Gesamtansicht'!BU44</f>
        <v>0</v>
      </c>
      <c r="BQ44" s="57">
        <f>+'KTR-Ausweis Gesamtansicht'!BV44</f>
        <v>0</v>
      </c>
      <c r="BR44" s="57">
        <f>+'KTR-Ausweis Gesamtansicht'!BW44</f>
        <v>0</v>
      </c>
      <c r="BZ44" s="57">
        <f>+'KTR-Ausweis Gesamtansicht'!CE44</f>
        <v>0</v>
      </c>
      <c r="CA44" s="57">
        <f>+'KTR-Ausweis Gesamtansicht'!CF44</f>
        <v>0</v>
      </c>
      <c r="CB44" s="57">
        <f>+'KTR-Ausweis Gesamtansicht'!CG44</f>
        <v>0</v>
      </c>
      <c r="CC44" s="57">
        <f>+'KTR-Ausweis Gesamtansicht'!CH44</f>
        <v>0</v>
      </c>
    </row>
    <row r="45" spans="1:81" s="55" customFormat="1" ht="12">
      <c r="A45" s="218">
        <f>+'KTR-Ausweis Gesamtansicht'!A45</f>
        <v>24</v>
      </c>
      <c r="B45" s="142" t="str">
        <f>+'KTR-Ausweis Gesamtansicht'!B45</f>
        <v>Intensivpflege und intermediate Care</v>
      </c>
      <c r="C45" s="33" t="str">
        <f>+'KTR-Ausweis Gesamtansicht'!C45</f>
        <v>TP und Min.</v>
      </c>
      <c r="M45" s="57">
        <f>+'KTR-Ausweis Gesamtansicht'!R45</f>
        <v>0</v>
      </c>
      <c r="BA45" s="57">
        <f>+'KTR-Ausweis Gesamtansicht'!BF45</f>
        <v>0</v>
      </c>
      <c r="BN45" s="57">
        <f>+'KTR-Ausweis Gesamtansicht'!BS45</f>
        <v>0</v>
      </c>
      <c r="BO45" s="57">
        <f>+'KTR-Ausweis Gesamtansicht'!BT45</f>
        <v>0</v>
      </c>
      <c r="BP45" s="57">
        <f>+'KTR-Ausweis Gesamtansicht'!BU45</f>
        <v>0</v>
      </c>
      <c r="BQ45" s="57">
        <f>+'KTR-Ausweis Gesamtansicht'!BV45</f>
        <v>0</v>
      </c>
      <c r="BR45" s="57">
        <f>+'KTR-Ausweis Gesamtansicht'!BW45</f>
        <v>0</v>
      </c>
      <c r="BZ45" s="57">
        <f>+'KTR-Ausweis Gesamtansicht'!CE45</f>
        <v>0</v>
      </c>
      <c r="CA45" s="57">
        <f>+'KTR-Ausweis Gesamtansicht'!CF45</f>
        <v>0</v>
      </c>
      <c r="CB45" s="57">
        <f>+'KTR-Ausweis Gesamtansicht'!CG45</f>
        <v>0</v>
      </c>
      <c r="CC45" s="57">
        <f>+'KTR-Ausweis Gesamtansicht'!CH45</f>
        <v>0</v>
      </c>
    </row>
    <row r="46" spans="1:81" s="55" customFormat="1" ht="12">
      <c r="A46" s="218">
        <f>+'KTR-Ausweis Gesamtansicht'!A46</f>
        <v>25</v>
      </c>
      <c r="B46" s="142" t="str">
        <f>+'KTR-Ausweis Gesamtansicht'!B46</f>
        <v>Notfall</v>
      </c>
      <c r="C46" s="33" t="str">
        <f>+'KTR-Ausweis Gesamtansicht'!C46</f>
        <v>TP und Min.</v>
      </c>
      <c r="M46" s="57">
        <f>+'KTR-Ausweis Gesamtansicht'!R46</f>
        <v>0</v>
      </c>
      <c r="BA46" s="57">
        <f>+'KTR-Ausweis Gesamtansicht'!BF46</f>
        <v>0</v>
      </c>
      <c r="BN46" s="57">
        <f>+'KTR-Ausweis Gesamtansicht'!BS46</f>
        <v>0</v>
      </c>
      <c r="BO46" s="57">
        <f>+'KTR-Ausweis Gesamtansicht'!BT46</f>
        <v>0</v>
      </c>
      <c r="BP46" s="57">
        <f>+'KTR-Ausweis Gesamtansicht'!BU46</f>
        <v>0</v>
      </c>
      <c r="BQ46" s="57">
        <f>+'KTR-Ausweis Gesamtansicht'!BV46</f>
        <v>0</v>
      </c>
      <c r="BR46" s="57">
        <f>+'KTR-Ausweis Gesamtansicht'!BW46</f>
        <v>0</v>
      </c>
      <c r="BZ46" s="57">
        <f>+'KTR-Ausweis Gesamtansicht'!CE46</f>
        <v>0</v>
      </c>
      <c r="CA46" s="57">
        <f>+'KTR-Ausweis Gesamtansicht'!CF46</f>
        <v>0</v>
      </c>
      <c r="CB46" s="57">
        <f>+'KTR-Ausweis Gesamtansicht'!CG46</f>
        <v>0</v>
      </c>
      <c r="CC46" s="57">
        <f>+'KTR-Ausweis Gesamtansicht'!CH46</f>
        <v>0</v>
      </c>
    </row>
    <row r="47" spans="1:81" s="55" customFormat="1" ht="12">
      <c r="A47" s="218">
        <f>+'KTR-Ausweis Gesamtansicht'!A47</f>
        <v>26</v>
      </c>
      <c r="B47" s="142" t="str">
        <f>+'KTR-Ausweis Gesamtansicht'!B47</f>
        <v>Bildgebende Verfahren  (inkl. Ärzteschaft)</v>
      </c>
      <c r="C47" s="33" t="str">
        <f>+'KTR-Ausweis Gesamtansicht'!C47</f>
        <v>TP und Min.</v>
      </c>
      <c r="M47" s="57">
        <f>+'KTR-Ausweis Gesamtansicht'!R47</f>
        <v>0</v>
      </c>
      <c r="BA47" s="57">
        <f>+'KTR-Ausweis Gesamtansicht'!BF47</f>
        <v>0</v>
      </c>
      <c r="BN47" s="57">
        <f>+'KTR-Ausweis Gesamtansicht'!BS47</f>
        <v>0</v>
      </c>
      <c r="BO47" s="57">
        <f>+'KTR-Ausweis Gesamtansicht'!BT47</f>
        <v>0</v>
      </c>
      <c r="BP47" s="57">
        <f>+'KTR-Ausweis Gesamtansicht'!BU47</f>
        <v>0</v>
      </c>
      <c r="BQ47" s="57">
        <f>+'KTR-Ausweis Gesamtansicht'!BV47</f>
        <v>0</v>
      </c>
      <c r="BR47" s="57">
        <f>+'KTR-Ausweis Gesamtansicht'!BW47</f>
        <v>0</v>
      </c>
      <c r="BZ47" s="57">
        <f>+'KTR-Ausweis Gesamtansicht'!CE47</f>
        <v>0</v>
      </c>
      <c r="CA47" s="57">
        <f>+'KTR-Ausweis Gesamtansicht'!CF47</f>
        <v>0</v>
      </c>
      <c r="CB47" s="57">
        <f>+'KTR-Ausweis Gesamtansicht'!CG47</f>
        <v>0</v>
      </c>
      <c r="CC47" s="57">
        <f>+'KTR-Ausweis Gesamtansicht'!CH47</f>
        <v>0</v>
      </c>
    </row>
    <row r="48" spans="1:81" s="55" customFormat="1" ht="12">
      <c r="A48" s="218">
        <f>+'KTR-Ausweis Gesamtansicht'!A48</f>
        <v>27</v>
      </c>
      <c r="B48" s="142" t="str">
        <f>+'KTR-Ausweis Gesamtansicht'!B48</f>
        <v>Gebärsaal</v>
      </c>
      <c r="C48" s="33" t="str">
        <f>+'KTR-Ausweis Gesamtansicht'!C48</f>
        <v>TP und Min.</v>
      </c>
      <c r="M48" s="57">
        <f>+'KTR-Ausweis Gesamtansicht'!R48</f>
        <v>0</v>
      </c>
      <c r="BA48" s="57">
        <f>+'KTR-Ausweis Gesamtansicht'!BF48</f>
        <v>0</v>
      </c>
      <c r="BN48" s="57">
        <f>+'KTR-Ausweis Gesamtansicht'!BS48</f>
        <v>0</v>
      </c>
      <c r="BO48" s="57">
        <f>+'KTR-Ausweis Gesamtansicht'!BT48</f>
        <v>0</v>
      </c>
      <c r="BP48" s="57">
        <f>+'KTR-Ausweis Gesamtansicht'!BU48</f>
        <v>0</v>
      </c>
      <c r="BQ48" s="57">
        <f>+'KTR-Ausweis Gesamtansicht'!BV48</f>
        <v>0</v>
      </c>
      <c r="BR48" s="57">
        <f>+'KTR-Ausweis Gesamtansicht'!BW48</f>
        <v>0</v>
      </c>
      <c r="BZ48" s="57">
        <f>+'KTR-Ausweis Gesamtansicht'!CE48</f>
        <v>0</v>
      </c>
      <c r="CA48" s="57">
        <f>+'KTR-Ausweis Gesamtansicht'!CF48</f>
        <v>0</v>
      </c>
      <c r="CB48" s="57">
        <f>+'KTR-Ausweis Gesamtansicht'!CG48</f>
        <v>0</v>
      </c>
      <c r="CC48" s="57">
        <f>+'KTR-Ausweis Gesamtansicht'!CH48</f>
        <v>0</v>
      </c>
    </row>
    <row r="49" spans="1:81" s="55" customFormat="1" ht="12">
      <c r="A49" s="218">
        <f>+'KTR-Ausweis Gesamtansicht'!A49</f>
        <v>28</v>
      </c>
      <c r="B49" s="142" t="str">
        <f>+'KTR-Ausweis Gesamtansicht'!B49</f>
        <v>Nuklearmedizin und Radioonkologie (inkl. Ärzteschaft)</v>
      </c>
      <c r="C49" s="33" t="str">
        <f>+'KTR-Ausweis Gesamtansicht'!C49</f>
        <v>TP und Min.</v>
      </c>
      <c r="M49" s="57">
        <f>+'KTR-Ausweis Gesamtansicht'!R49</f>
        <v>0</v>
      </c>
      <c r="BA49" s="57">
        <f>+'KTR-Ausweis Gesamtansicht'!BF49</f>
        <v>0</v>
      </c>
      <c r="BN49" s="57">
        <f>+'KTR-Ausweis Gesamtansicht'!BS49</f>
        <v>0</v>
      </c>
      <c r="BO49" s="57">
        <f>+'KTR-Ausweis Gesamtansicht'!BT49</f>
        <v>0</v>
      </c>
      <c r="BP49" s="57">
        <f>+'KTR-Ausweis Gesamtansicht'!BU49</f>
        <v>0</v>
      </c>
      <c r="BQ49" s="57">
        <f>+'KTR-Ausweis Gesamtansicht'!BV49</f>
        <v>0</v>
      </c>
      <c r="BR49" s="57">
        <f>+'KTR-Ausweis Gesamtansicht'!BW49</f>
        <v>0</v>
      </c>
      <c r="BZ49" s="57">
        <f>+'KTR-Ausweis Gesamtansicht'!CE49</f>
        <v>0</v>
      </c>
      <c r="CA49" s="57">
        <f>+'KTR-Ausweis Gesamtansicht'!CF49</f>
        <v>0</v>
      </c>
      <c r="CB49" s="57">
        <f>+'KTR-Ausweis Gesamtansicht'!CG49</f>
        <v>0</v>
      </c>
      <c r="CC49" s="57">
        <f>+'KTR-Ausweis Gesamtansicht'!CH49</f>
        <v>0</v>
      </c>
    </row>
    <row r="50" spans="1:81" s="55" customFormat="1" ht="12">
      <c r="A50" s="218">
        <f>+'KTR-Ausweis Gesamtansicht'!A50</f>
        <v>29</v>
      </c>
      <c r="B50" s="142" t="str">
        <f>+'KTR-Ausweis Gesamtansicht'!B50</f>
        <v>Labor (inkl. Ärzteschaft)</v>
      </c>
      <c r="C50" s="33" t="str">
        <f>+'KTR-Ausweis Gesamtansicht'!C50</f>
        <v>TP und Min.</v>
      </c>
      <c r="M50" s="57">
        <f>+'KTR-Ausweis Gesamtansicht'!R50</f>
        <v>0</v>
      </c>
      <c r="BA50" s="57">
        <f>+'KTR-Ausweis Gesamtansicht'!BF50</f>
        <v>0</v>
      </c>
      <c r="BN50" s="57">
        <f>+'KTR-Ausweis Gesamtansicht'!BS50</f>
        <v>0</v>
      </c>
      <c r="BO50" s="57">
        <f>+'KTR-Ausweis Gesamtansicht'!BT50</f>
        <v>0</v>
      </c>
      <c r="BP50" s="57">
        <f>+'KTR-Ausweis Gesamtansicht'!BU50</f>
        <v>0</v>
      </c>
      <c r="BQ50" s="57">
        <f>+'KTR-Ausweis Gesamtansicht'!BV50</f>
        <v>0</v>
      </c>
      <c r="BR50" s="57">
        <f>+'KTR-Ausweis Gesamtansicht'!BW50</f>
        <v>0</v>
      </c>
      <c r="BZ50" s="57">
        <f>+'KTR-Ausweis Gesamtansicht'!CE50</f>
        <v>0</v>
      </c>
      <c r="CA50" s="57">
        <f>+'KTR-Ausweis Gesamtansicht'!CF50</f>
        <v>0</v>
      </c>
      <c r="CB50" s="57">
        <f>+'KTR-Ausweis Gesamtansicht'!CG50</f>
        <v>0</v>
      </c>
      <c r="CC50" s="57">
        <f>+'KTR-Ausweis Gesamtansicht'!CH50</f>
        <v>0</v>
      </c>
    </row>
    <row r="51" spans="1:81" s="55" customFormat="1" ht="12">
      <c r="A51" s="218">
        <f>+'KTR-Ausweis Gesamtansicht'!A51</f>
        <v>30</v>
      </c>
      <c r="B51" s="142" t="str">
        <f>+'KTR-Ausweis Gesamtansicht'!B51</f>
        <v>Dialyse</v>
      </c>
      <c r="C51" s="33" t="str">
        <f>+'KTR-Ausweis Gesamtansicht'!C51</f>
        <v>Anzahl Dialysen</v>
      </c>
      <c r="M51" s="57">
        <f>+'KTR-Ausweis Gesamtansicht'!R51</f>
        <v>0</v>
      </c>
      <c r="BA51" s="57">
        <f>+'KTR-Ausweis Gesamtansicht'!BF51</f>
        <v>0</v>
      </c>
      <c r="BN51" s="57">
        <f>+'KTR-Ausweis Gesamtansicht'!BS51</f>
        <v>0</v>
      </c>
      <c r="BO51" s="57">
        <f>+'KTR-Ausweis Gesamtansicht'!BT51</f>
        <v>0</v>
      </c>
      <c r="BP51" s="57">
        <f>+'KTR-Ausweis Gesamtansicht'!BU51</f>
        <v>0</v>
      </c>
      <c r="BQ51" s="57">
        <f>+'KTR-Ausweis Gesamtansicht'!BV51</f>
        <v>0</v>
      </c>
      <c r="BR51" s="57">
        <f>+'KTR-Ausweis Gesamtansicht'!BW51</f>
        <v>0</v>
      </c>
      <c r="BZ51" s="57">
        <f>+'KTR-Ausweis Gesamtansicht'!CE51</f>
        <v>0</v>
      </c>
      <c r="CA51" s="57">
        <f>+'KTR-Ausweis Gesamtansicht'!CF51</f>
        <v>0</v>
      </c>
      <c r="CB51" s="57">
        <f>+'KTR-Ausweis Gesamtansicht'!CG51</f>
        <v>0</v>
      </c>
      <c r="CC51" s="57">
        <f>+'KTR-Ausweis Gesamtansicht'!CH51</f>
        <v>0</v>
      </c>
    </row>
    <row r="52" spans="1:81" s="55" customFormat="1" ht="12">
      <c r="A52" s="218">
        <f>+'KTR-Ausweis Gesamtansicht'!A52</f>
        <v>31</v>
      </c>
      <c r="B52" s="142" t="str">
        <f>+'KTR-Ausweis Gesamtansicht'!B52</f>
        <v>Ärzteschaften-Aktivitäten 1 bis 5</v>
      </c>
      <c r="C52" s="33" t="str">
        <f>+'KTR-Ausweis Gesamtansicht'!C52</f>
        <v>TP und Min.</v>
      </c>
      <c r="M52" s="57">
        <f>+'KTR-Ausweis Gesamtansicht'!R52</f>
        <v>0</v>
      </c>
      <c r="BA52" s="57">
        <f>+'KTR-Ausweis Gesamtansicht'!BF52</f>
        <v>0</v>
      </c>
      <c r="BN52" s="57">
        <f>+'KTR-Ausweis Gesamtansicht'!BS52</f>
        <v>0</v>
      </c>
      <c r="BO52" s="57">
        <f>+'KTR-Ausweis Gesamtansicht'!BT52</f>
        <v>0</v>
      </c>
      <c r="BP52" s="57">
        <f>+'KTR-Ausweis Gesamtansicht'!BU52</f>
        <v>0</v>
      </c>
      <c r="BQ52" s="57">
        <f>+'KTR-Ausweis Gesamtansicht'!BV52</f>
        <v>0</v>
      </c>
      <c r="BR52" s="57">
        <f>+'KTR-Ausweis Gesamtansicht'!BW52</f>
        <v>0</v>
      </c>
      <c r="BZ52" s="57">
        <f>+'KTR-Ausweis Gesamtansicht'!CE52</f>
        <v>0</v>
      </c>
      <c r="CA52" s="57">
        <f>+'KTR-Ausweis Gesamtansicht'!CF52</f>
        <v>0</v>
      </c>
      <c r="CB52" s="57">
        <f>+'KTR-Ausweis Gesamtansicht'!CG52</f>
        <v>0</v>
      </c>
      <c r="CC52" s="57">
        <f>+'KTR-Ausweis Gesamtansicht'!CH52</f>
        <v>0</v>
      </c>
    </row>
    <row r="53" spans="1:81" s="55" customFormat="1" ht="12">
      <c r="A53" s="219">
        <f>+'KTR-Ausweis Gesamtansicht'!A53</f>
        <v>31</v>
      </c>
      <c r="B53" s="142" t="str">
        <f>+'KTR-Ausweis Gesamtansicht'!B53</f>
        <v>Ärzteschaften-Aktivitäten 6</v>
      </c>
      <c r="C53" s="33" t="str">
        <f>+'KTR-Ausweis Gesamtansicht'!C53</f>
        <v>TP und Min.</v>
      </c>
      <c r="M53" s="57">
        <f>+'KTR-Ausweis Gesamtansicht'!R53</f>
        <v>0</v>
      </c>
      <c r="BA53" s="57">
        <f>+'KTR-Ausweis Gesamtansicht'!BF53</f>
        <v>0</v>
      </c>
      <c r="BN53" s="57">
        <f>+'KTR-Ausweis Gesamtansicht'!BS53</f>
        <v>0</v>
      </c>
      <c r="BO53" s="57">
        <f>+'KTR-Ausweis Gesamtansicht'!BT53</f>
        <v>0</v>
      </c>
      <c r="BP53" s="57">
        <f>+'KTR-Ausweis Gesamtansicht'!BU53</f>
        <v>0</v>
      </c>
      <c r="BQ53" s="57">
        <f>+'KTR-Ausweis Gesamtansicht'!BV53</f>
        <v>0</v>
      </c>
      <c r="BR53" s="57">
        <f>+'KTR-Ausweis Gesamtansicht'!BW53</f>
        <v>0</v>
      </c>
      <c r="BZ53" s="57">
        <f>+'KTR-Ausweis Gesamtansicht'!CE53</f>
        <v>0</v>
      </c>
      <c r="CA53" s="57">
        <f>+'KTR-Ausweis Gesamtansicht'!CF53</f>
        <v>0</v>
      </c>
      <c r="CB53" s="57">
        <f>+'KTR-Ausweis Gesamtansicht'!CG53</f>
        <v>0</v>
      </c>
      <c r="CC53" s="57">
        <f>+'KTR-Ausweis Gesamtansicht'!CH53</f>
        <v>0</v>
      </c>
    </row>
    <row r="54" spans="1:81" s="55" customFormat="1" ht="12">
      <c r="A54" s="218">
        <f>+'KTR-Ausweis Gesamtansicht'!A54</f>
        <v>32</v>
      </c>
      <c r="B54" s="142" t="str">
        <f>+'KTR-Ausweis Gesamtansicht'!B54</f>
        <v>Physiotherapie</v>
      </c>
      <c r="C54" s="33" t="str">
        <f>+'KTR-Ausweis Gesamtansicht'!C54</f>
        <v>TP</v>
      </c>
      <c r="M54" s="57">
        <f>+'KTR-Ausweis Gesamtansicht'!R54</f>
        <v>0</v>
      </c>
      <c r="BA54" s="57">
        <f>+'KTR-Ausweis Gesamtansicht'!BF54</f>
        <v>0</v>
      </c>
      <c r="BN54" s="57">
        <f>+'KTR-Ausweis Gesamtansicht'!BS54</f>
        <v>0</v>
      </c>
      <c r="BO54" s="57">
        <f>+'KTR-Ausweis Gesamtansicht'!BT54</f>
        <v>0</v>
      </c>
      <c r="BP54" s="57">
        <f>+'KTR-Ausweis Gesamtansicht'!BU54</f>
        <v>0</v>
      </c>
      <c r="BQ54" s="57">
        <f>+'KTR-Ausweis Gesamtansicht'!BV54</f>
        <v>0</v>
      </c>
      <c r="BR54" s="57">
        <f>+'KTR-Ausweis Gesamtansicht'!BW54</f>
        <v>0</v>
      </c>
      <c r="BZ54" s="57">
        <f>+'KTR-Ausweis Gesamtansicht'!CE54</f>
        <v>0</v>
      </c>
      <c r="CA54" s="57">
        <f>+'KTR-Ausweis Gesamtansicht'!CF54</f>
        <v>0</v>
      </c>
      <c r="CB54" s="57">
        <f>+'KTR-Ausweis Gesamtansicht'!CG54</f>
        <v>0</v>
      </c>
      <c r="CC54" s="57">
        <f>+'KTR-Ausweis Gesamtansicht'!CH54</f>
        <v>0</v>
      </c>
    </row>
    <row r="55" spans="1:81" s="55" customFormat="1" ht="12">
      <c r="A55" s="218">
        <f>+'KTR-Ausweis Gesamtansicht'!A55</f>
        <v>33</v>
      </c>
      <c r="B55" s="142" t="str">
        <f>+'KTR-Ausweis Gesamtansicht'!B55</f>
        <v>Ergotherapie</v>
      </c>
      <c r="C55" s="33" t="str">
        <f>+'KTR-Ausweis Gesamtansicht'!C55</f>
        <v>TP</v>
      </c>
      <c r="M55" s="57">
        <f>+'KTR-Ausweis Gesamtansicht'!R55</f>
        <v>0</v>
      </c>
      <c r="BA55" s="57">
        <f>+'KTR-Ausweis Gesamtansicht'!BF55</f>
        <v>0</v>
      </c>
      <c r="BN55" s="57">
        <f>+'KTR-Ausweis Gesamtansicht'!BS55</f>
        <v>0</v>
      </c>
      <c r="BO55" s="57">
        <f>+'KTR-Ausweis Gesamtansicht'!BT55</f>
        <v>0</v>
      </c>
      <c r="BP55" s="57">
        <f>+'KTR-Ausweis Gesamtansicht'!BU55</f>
        <v>0</v>
      </c>
      <c r="BQ55" s="57">
        <f>+'KTR-Ausweis Gesamtansicht'!BV55</f>
        <v>0</v>
      </c>
      <c r="BR55" s="57">
        <f>+'KTR-Ausweis Gesamtansicht'!BW55</f>
        <v>0</v>
      </c>
      <c r="BZ55" s="57">
        <f>+'KTR-Ausweis Gesamtansicht'!CE55</f>
        <v>0</v>
      </c>
      <c r="CA55" s="57">
        <f>+'KTR-Ausweis Gesamtansicht'!CF55</f>
        <v>0</v>
      </c>
      <c r="CB55" s="57">
        <f>+'KTR-Ausweis Gesamtansicht'!CG55</f>
        <v>0</v>
      </c>
      <c r="CC55" s="57">
        <f>+'KTR-Ausweis Gesamtansicht'!CH55</f>
        <v>0</v>
      </c>
    </row>
    <row r="56" spans="1:81" s="55" customFormat="1" ht="12">
      <c r="A56" s="218">
        <f>+'KTR-Ausweis Gesamtansicht'!A56</f>
        <v>34</v>
      </c>
      <c r="B56" s="142" t="str">
        <f>+'KTR-Ausweis Gesamtansicht'!B56</f>
        <v>Logopädie</v>
      </c>
      <c r="C56" s="33" t="str">
        <f>+'KTR-Ausweis Gesamtansicht'!C56</f>
        <v>TP</v>
      </c>
      <c r="M56" s="57">
        <f>+'KTR-Ausweis Gesamtansicht'!R56</f>
        <v>0</v>
      </c>
      <c r="BA56" s="57">
        <f>+'KTR-Ausweis Gesamtansicht'!BF56</f>
        <v>0</v>
      </c>
      <c r="BN56" s="57">
        <f>+'KTR-Ausweis Gesamtansicht'!BS56</f>
        <v>0</v>
      </c>
      <c r="BO56" s="57">
        <f>+'KTR-Ausweis Gesamtansicht'!BT56</f>
        <v>0</v>
      </c>
      <c r="BP56" s="57">
        <f>+'KTR-Ausweis Gesamtansicht'!BU56</f>
        <v>0</v>
      </c>
      <c r="BQ56" s="57">
        <f>+'KTR-Ausweis Gesamtansicht'!BV56</f>
        <v>0</v>
      </c>
      <c r="BR56" s="57">
        <f>+'KTR-Ausweis Gesamtansicht'!BW56</f>
        <v>0</v>
      </c>
      <c r="BZ56" s="57">
        <f>+'KTR-Ausweis Gesamtansicht'!CE56</f>
        <v>0</v>
      </c>
      <c r="CA56" s="57">
        <f>+'KTR-Ausweis Gesamtansicht'!CF56</f>
        <v>0</v>
      </c>
      <c r="CB56" s="57">
        <f>+'KTR-Ausweis Gesamtansicht'!CG56</f>
        <v>0</v>
      </c>
      <c r="CC56" s="57">
        <f>+'KTR-Ausweis Gesamtansicht'!CH56</f>
        <v>0</v>
      </c>
    </row>
    <row r="57" spans="1:81" s="55" customFormat="1" ht="12">
      <c r="A57" s="218">
        <f>+'KTR-Ausweis Gesamtansicht'!A57</f>
        <v>35</v>
      </c>
      <c r="B57" s="142" t="str">
        <f>+'KTR-Ausweis Gesamtansicht'!B57</f>
        <v>Nichtärztliche Therapien und Beratungen</v>
      </c>
      <c r="C57" s="33" t="str">
        <f>+'KTR-Ausweis Gesamtansicht'!C57</f>
        <v>TP</v>
      </c>
      <c r="M57" s="57">
        <f>+'KTR-Ausweis Gesamtansicht'!R57</f>
        <v>0</v>
      </c>
      <c r="BA57" s="57">
        <f>+'KTR-Ausweis Gesamtansicht'!BF57</f>
        <v>0</v>
      </c>
      <c r="BN57" s="57">
        <f>+'KTR-Ausweis Gesamtansicht'!BS57</f>
        <v>0</v>
      </c>
      <c r="BO57" s="57">
        <f>+'KTR-Ausweis Gesamtansicht'!BT57</f>
        <v>0</v>
      </c>
      <c r="BP57" s="57">
        <f>+'KTR-Ausweis Gesamtansicht'!BU57</f>
        <v>0</v>
      </c>
      <c r="BQ57" s="57">
        <f>+'KTR-Ausweis Gesamtansicht'!BV57</f>
        <v>0</v>
      </c>
      <c r="BR57" s="57">
        <f>+'KTR-Ausweis Gesamtansicht'!BW57</f>
        <v>0</v>
      </c>
      <c r="BZ57" s="57">
        <f>+'KTR-Ausweis Gesamtansicht'!CE57</f>
        <v>0</v>
      </c>
      <c r="CA57" s="57">
        <f>+'KTR-Ausweis Gesamtansicht'!CF57</f>
        <v>0</v>
      </c>
      <c r="CB57" s="57">
        <f>+'KTR-Ausweis Gesamtansicht'!CG57</f>
        <v>0</v>
      </c>
      <c r="CC57" s="57">
        <f>+'KTR-Ausweis Gesamtansicht'!CH57</f>
        <v>0</v>
      </c>
    </row>
    <row r="58" spans="1:81" s="55" customFormat="1" ht="12">
      <c r="A58" s="218">
        <f>+'KTR-Ausweis Gesamtansicht'!A58</f>
        <v>36</v>
      </c>
      <c r="B58" s="142" t="str">
        <f>+'KTR-Ausweis Gesamtansicht'!B58</f>
        <v>Medizinische und therapeutische Diagnostik</v>
      </c>
      <c r="C58" s="33" t="str">
        <f>+'KTR-Ausweis Gesamtansicht'!C58</f>
        <v>TP und Min.</v>
      </c>
      <c r="M58" s="57">
        <f>+'KTR-Ausweis Gesamtansicht'!R58</f>
        <v>0</v>
      </c>
      <c r="BA58" s="57">
        <f>+'KTR-Ausweis Gesamtansicht'!BF58</f>
        <v>0</v>
      </c>
      <c r="BN58" s="57">
        <f>+'KTR-Ausweis Gesamtansicht'!BS58</f>
        <v>0</v>
      </c>
      <c r="BO58" s="57">
        <f>+'KTR-Ausweis Gesamtansicht'!BT58</f>
        <v>0</v>
      </c>
      <c r="BP58" s="57">
        <f>+'KTR-Ausweis Gesamtansicht'!BU58</f>
        <v>0</v>
      </c>
      <c r="BQ58" s="57">
        <f>+'KTR-Ausweis Gesamtansicht'!BV58</f>
        <v>0</v>
      </c>
      <c r="BR58" s="57">
        <f>+'KTR-Ausweis Gesamtansicht'!BW58</f>
        <v>0</v>
      </c>
      <c r="BZ58" s="57">
        <f>+'KTR-Ausweis Gesamtansicht'!CE58</f>
        <v>0</v>
      </c>
      <c r="CA58" s="57">
        <f>+'KTR-Ausweis Gesamtansicht'!CF58</f>
        <v>0</v>
      </c>
      <c r="CB58" s="57">
        <f>+'KTR-Ausweis Gesamtansicht'!CG58</f>
        <v>0</v>
      </c>
      <c r="CC58" s="57">
        <f>+'KTR-Ausweis Gesamtansicht'!CH58</f>
        <v>0</v>
      </c>
    </row>
    <row r="59" spans="1:81" s="55" customFormat="1" ht="12">
      <c r="A59" s="218">
        <f>+'KTR-Ausweis Gesamtansicht'!A59</f>
        <v>39</v>
      </c>
      <c r="B59" s="142" t="str">
        <f>+'KTR-Ausweis Gesamtansicht'!B59</f>
        <v>Pflege</v>
      </c>
      <c r="C59" s="33" t="str">
        <f>+'KTR-Ausweis Gesamtansicht'!C59</f>
        <v>Min.</v>
      </c>
      <c r="M59" s="57">
        <f>+'KTR-Ausweis Gesamtansicht'!R59</f>
        <v>0</v>
      </c>
      <c r="BA59" s="57">
        <f>+'KTR-Ausweis Gesamtansicht'!BF59</f>
        <v>0</v>
      </c>
      <c r="BN59" s="57">
        <f>+'KTR-Ausweis Gesamtansicht'!BS59</f>
        <v>0</v>
      </c>
      <c r="BO59" s="57">
        <f>+'KTR-Ausweis Gesamtansicht'!BT59</f>
        <v>0</v>
      </c>
      <c r="BP59" s="57">
        <f>+'KTR-Ausweis Gesamtansicht'!BU59</f>
        <v>0</v>
      </c>
      <c r="BQ59" s="57">
        <f>+'KTR-Ausweis Gesamtansicht'!BV59</f>
        <v>0</v>
      </c>
      <c r="BR59" s="57">
        <f>+'KTR-Ausweis Gesamtansicht'!BW59</f>
        <v>0</v>
      </c>
      <c r="BZ59" s="57">
        <f>+'KTR-Ausweis Gesamtansicht'!CE59</f>
        <v>0</v>
      </c>
      <c r="CA59" s="57">
        <f>+'KTR-Ausweis Gesamtansicht'!CF59</f>
        <v>0</v>
      </c>
      <c r="CB59" s="57">
        <f>+'KTR-Ausweis Gesamtansicht'!CG59</f>
        <v>0</v>
      </c>
      <c r="CC59" s="57">
        <f>+'KTR-Ausweis Gesamtansicht'!CH59</f>
        <v>0</v>
      </c>
    </row>
    <row r="60" spans="1:81" s="55" customFormat="1" ht="12">
      <c r="A60" s="218">
        <f>+'KTR-Ausweis Gesamtansicht'!A60</f>
        <v>41</v>
      </c>
      <c r="B60" s="142" t="str">
        <f>+'KTR-Ausweis Gesamtansicht'!B60</f>
        <v>Hotellerie-Zimmer</v>
      </c>
      <c r="C60" s="33" t="str">
        <f>+'KTR-Ausweis Gesamtansicht'!C60</f>
        <v>Pflegetag  gewichtet</v>
      </c>
      <c r="M60" s="57">
        <f>+'KTR-Ausweis Gesamtansicht'!R60</f>
        <v>0</v>
      </c>
      <c r="BA60" s="57">
        <f>+'KTR-Ausweis Gesamtansicht'!BF60</f>
        <v>0</v>
      </c>
      <c r="BN60" s="57">
        <f>+'KTR-Ausweis Gesamtansicht'!BS60</f>
        <v>0</v>
      </c>
      <c r="BO60" s="57">
        <f>+'KTR-Ausweis Gesamtansicht'!BT60</f>
        <v>0</v>
      </c>
      <c r="BP60" s="57">
        <f>+'KTR-Ausweis Gesamtansicht'!BU60</f>
        <v>0</v>
      </c>
      <c r="BQ60" s="57">
        <f>+'KTR-Ausweis Gesamtansicht'!BV60</f>
        <v>0</v>
      </c>
      <c r="BR60" s="57">
        <f>+'KTR-Ausweis Gesamtansicht'!BW60</f>
        <v>0</v>
      </c>
      <c r="BZ60" s="57">
        <f>+'KTR-Ausweis Gesamtansicht'!CE60</f>
        <v>0</v>
      </c>
      <c r="CA60" s="57">
        <f>+'KTR-Ausweis Gesamtansicht'!CF60</f>
        <v>0</v>
      </c>
      <c r="CB60" s="57">
        <f>+'KTR-Ausweis Gesamtansicht'!CG60</f>
        <v>0</v>
      </c>
      <c r="CC60" s="57">
        <f>+'KTR-Ausweis Gesamtansicht'!CH60</f>
        <v>0</v>
      </c>
    </row>
    <row r="61" spans="1:81" s="55" customFormat="1" ht="12">
      <c r="A61" s="218">
        <f>+'KTR-Ausweis Gesamtansicht'!A61</f>
        <v>42</v>
      </c>
      <c r="B61" s="142" t="str">
        <f>+'KTR-Ausweis Gesamtansicht'!B61</f>
        <v>Hotellerie-Küche</v>
      </c>
      <c r="C61" s="33" t="str">
        <f>+'KTR-Ausweis Gesamtansicht'!C61</f>
        <v>PT und Mahlzeit</v>
      </c>
      <c r="M61" s="57">
        <f>+'KTR-Ausweis Gesamtansicht'!R61</f>
        <v>0</v>
      </c>
      <c r="BA61" s="57">
        <f>+'KTR-Ausweis Gesamtansicht'!BF61</f>
        <v>0</v>
      </c>
      <c r="BN61" s="57">
        <f>+'KTR-Ausweis Gesamtansicht'!BS61</f>
        <v>0</v>
      </c>
      <c r="BO61" s="57">
        <f>+'KTR-Ausweis Gesamtansicht'!BT61</f>
        <v>0</v>
      </c>
      <c r="BP61" s="57">
        <f>+'KTR-Ausweis Gesamtansicht'!BU61</f>
        <v>0</v>
      </c>
      <c r="BQ61" s="57">
        <f>+'KTR-Ausweis Gesamtansicht'!BV61</f>
        <v>0</v>
      </c>
      <c r="BR61" s="57">
        <f>+'KTR-Ausweis Gesamtansicht'!BW61</f>
        <v>0</v>
      </c>
      <c r="BZ61" s="57">
        <f>+'KTR-Ausweis Gesamtansicht'!CE61</f>
        <v>0</v>
      </c>
      <c r="CA61" s="57">
        <f>+'KTR-Ausweis Gesamtansicht'!CF61</f>
        <v>0</v>
      </c>
      <c r="CB61" s="57">
        <f>+'KTR-Ausweis Gesamtansicht'!CG61</f>
        <v>0</v>
      </c>
      <c r="CC61" s="57">
        <f>+'KTR-Ausweis Gesamtansicht'!CH61</f>
        <v>0</v>
      </c>
    </row>
    <row r="62" spans="1:81" s="55" customFormat="1" ht="12">
      <c r="A62" s="218">
        <f>+'KTR-Ausweis Gesamtansicht'!A62</f>
        <v>43</v>
      </c>
      <c r="B62" s="142" t="str">
        <f>+'KTR-Ausweis Gesamtansicht'!B62</f>
        <v>Hotellerie-Service</v>
      </c>
      <c r="C62" s="33" t="str">
        <f>+'KTR-Ausweis Gesamtansicht'!C62</f>
        <v>PT</v>
      </c>
      <c r="M62" s="57">
        <f>+'KTR-Ausweis Gesamtansicht'!R62</f>
        <v>0</v>
      </c>
      <c r="BA62" s="57">
        <f>+'KTR-Ausweis Gesamtansicht'!BF62</f>
        <v>0</v>
      </c>
      <c r="BN62" s="57">
        <f>+'KTR-Ausweis Gesamtansicht'!BS62</f>
        <v>0</v>
      </c>
      <c r="BO62" s="57">
        <f>+'KTR-Ausweis Gesamtansicht'!BT62</f>
        <v>0</v>
      </c>
      <c r="BP62" s="57">
        <f>+'KTR-Ausweis Gesamtansicht'!BU62</f>
        <v>0</v>
      </c>
      <c r="BQ62" s="57">
        <f>+'KTR-Ausweis Gesamtansicht'!BV62</f>
        <v>0</v>
      </c>
      <c r="BR62" s="57">
        <f>+'KTR-Ausweis Gesamtansicht'!BW62</f>
        <v>0</v>
      </c>
      <c r="BZ62" s="57">
        <f>+'KTR-Ausweis Gesamtansicht'!CE62</f>
        <v>0</v>
      </c>
      <c r="CA62" s="57">
        <f>+'KTR-Ausweis Gesamtansicht'!CF62</f>
        <v>0</v>
      </c>
      <c r="CB62" s="57">
        <f>+'KTR-Ausweis Gesamtansicht'!CG62</f>
        <v>0</v>
      </c>
      <c r="CC62" s="57">
        <f>+'KTR-Ausweis Gesamtansicht'!CH62</f>
        <v>0</v>
      </c>
    </row>
    <row r="63" spans="1:81" s="55" customFormat="1" ht="12">
      <c r="A63" s="218">
        <f>+'KTR-Ausweis Gesamtansicht'!A63</f>
        <v>44</v>
      </c>
      <c r="B63" s="142" t="str">
        <f>+'KTR-Ausweis Gesamtansicht'!B63</f>
        <v>Übrige Leistungserbringer</v>
      </c>
      <c r="C63" s="33" t="str">
        <f>+'KTR-Ausweis Gesamtansicht'!C63</f>
        <v>PT</v>
      </c>
      <c r="M63" s="57">
        <f>+'KTR-Ausweis Gesamtansicht'!R63</f>
        <v>0</v>
      </c>
      <c r="BA63" s="57">
        <f>+'KTR-Ausweis Gesamtansicht'!BF63</f>
        <v>0</v>
      </c>
      <c r="BN63" s="57">
        <f>+'KTR-Ausweis Gesamtansicht'!BS63</f>
        <v>0</v>
      </c>
      <c r="BO63" s="57">
        <f>+'KTR-Ausweis Gesamtansicht'!BT63</f>
        <v>0</v>
      </c>
      <c r="BP63" s="57">
        <f>+'KTR-Ausweis Gesamtansicht'!BU63</f>
        <v>0</v>
      </c>
      <c r="BQ63" s="57">
        <f>+'KTR-Ausweis Gesamtansicht'!BV63</f>
        <v>0</v>
      </c>
      <c r="BR63" s="57">
        <f>+'KTR-Ausweis Gesamtansicht'!BW63</f>
        <v>0</v>
      </c>
      <c r="BZ63" s="57">
        <f>+'KTR-Ausweis Gesamtansicht'!CE63</f>
        <v>0</v>
      </c>
      <c r="CA63" s="57">
        <f>+'KTR-Ausweis Gesamtansicht'!CF63</f>
        <v>0</v>
      </c>
      <c r="CB63" s="57">
        <f>+'KTR-Ausweis Gesamtansicht'!CG63</f>
        <v>0</v>
      </c>
      <c r="CC63" s="57">
        <f>+'KTR-Ausweis Gesamtansicht'!CH63</f>
        <v>0</v>
      </c>
    </row>
    <row r="64" spans="1:81" s="55" customFormat="1" ht="12">
      <c r="A64" s="218">
        <f>+'KTR-Ausweis Gesamtansicht'!A64</f>
        <v>45</v>
      </c>
      <c r="B64" s="223" t="str">
        <f>+'KTR-Ausweis Gesamtansicht'!B64</f>
        <v>Pathologie (inkl. Ärzteschaft)</v>
      </c>
      <c r="C64" s="33" t="str">
        <f>+'KTR-Ausweis Gesamtansicht'!C64</f>
        <v>TP und Min.</v>
      </c>
      <c r="M64" s="57">
        <f>+'KTR-Ausweis Gesamtansicht'!R64</f>
        <v>0</v>
      </c>
      <c r="BA64" s="57">
        <f>+'KTR-Ausweis Gesamtansicht'!BF64</f>
        <v>0</v>
      </c>
      <c r="BN64" s="57">
        <f>+'KTR-Ausweis Gesamtansicht'!BS64</f>
        <v>0</v>
      </c>
      <c r="BO64" s="57">
        <f>+'KTR-Ausweis Gesamtansicht'!BT64</f>
        <v>0</v>
      </c>
      <c r="BP64" s="57">
        <f>+'KTR-Ausweis Gesamtansicht'!BU64</f>
        <v>0</v>
      </c>
      <c r="BQ64" s="57">
        <f>+'KTR-Ausweis Gesamtansicht'!BV64</f>
        <v>0</v>
      </c>
      <c r="BR64" s="57">
        <f>+'KTR-Ausweis Gesamtansicht'!BW64</f>
        <v>0</v>
      </c>
      <c r="BZ64" s="57">
        <f>+'KTR-Ausweis Gesamtansicht'!CE64</f>
        <v>0</v>
      </c>
      <c r="CA64" s="57">
        <f>+'KTR-Ausweis Gesamtansicht'!CF64</f>
        <v>0</v>
      </c>
      <c r="CB64" s="57">
        <f>+'KTR-Ausweis Gesamtansicht'!CG64</f>
        <v>0</v>
      </c>
      <c r="CC64" s="57">
        <f>+'KTR-Ausweis Gesamtansicht'!CH64</f>
        <v>0</v>
      </c>
    </row>
    <row r="65" spans="1:81" s="55" customFormat="1" ht="12">
      <c r="A65" s="218">
        <f>+'KTR-Ausweis Gesamtansicht'!A65</f>
        <v>47</v>
      </c>
      <c r="B65" s="223" t="str">
        <f>+'KTR-Ausweis Gesamtansicht'!B65</f>
        <v>Forschung und universitäre Lehre (nur bezogen auf Aufträge der Forschung und universitären Lehre)</v>
      </c>
      <c r="C65" s="33" t="str">
        <f>+'KTR-Ausweis Gesamtansicht'!C65</f>
        <v>% der Besoldungen</v>
      </c>
      <c r="M65" s="57">
        <f>+'KTR-Ausweis Gesamtansicht'!R65</f>
        <v>0</v>
      </c>
      <c r="BA65" s="57">
        <f>+'KTR-Ausweis Gesamtansicht'!BF65</f>
        <v>0</v>
      </c>
      <c r="BN65" s="57">
        <f>+'KTR-Ausweis Gesamtansicht'!BS65</f>
        <v>0</v>
      </c>
      <c r="BO65" s="57">
        <f>+'KTR-Ausweis Gesamtansicht'!BT65</f>
        <v>0</v>
      </c>
      <c r="BP65" s="57">
        <f>+'KTR-Ausweis Gesamtansicht'!BU65</f>
        <v>0</v>
      </c>
      <c r="BQ65" s="57">
        <f>+'KTR-Ausweis Gesamtansicht'!BV65</f>
        <v>0</v>
      </c>
      <c r="BR65" s="57">
        <f>+'KTR-Ausweis Gesamtansicht'!BW65</f>
        <v>0</v>
      </c>
      <c r="BZ65" s="57">
        <f>+'KTR-Ausweis Gesamtansicht'!CE65</f>
        <v>0</v>
      </c>
      <c r="CA65" s="57">
        <f>+'KTR-Ausweis Gesamtansicht'!CF65</f>
        <v>0</v>
      </c>
      <c r="CB65" s="57">
        <f>+'KTR-Ausweis Gesamtansicht'!CG65</f>
        <v>0</v>
      </c>
      <c r="CC65" s="57">
        <f>+'KTR-Ausweis Gesamtansicht'!CH65</f>
        <v>0</v>
      </c>
    </row>
    <row r="66" spans="1:81" s="55" customFormat="1" ht="12">
      <c r="A66" s="218">
        <f>+'KTR-Ausweis Gesamtansicht'!A66</f>
        <v>77</v>
      </c>
      <c r="B66" s="223" t="str">
        <f>+'KTR-Ausweis Gesamtansicht'!B66</f>
        <v>Rettungs- bzw. Ambulanzdienst (nur Sekundärtransporte)</v>
      </c>
      <c r="C66" s="33" t="str">
        <f>+'KTR-Ausweis Gesamtansicht'!C66</f>
        <v>CHF-Betrag</v>
      </c>
      <c r="M66" s="57">
        <f>+'KTR-Ausweis Gesamtansicht'!R66</f>
        <v>0</v>
      </c>
      <c r="BA66" s="57">
        <f>+'KTR-Ausweis Gesamtansicht'!BF66</f>
        <v>0</v>
      </c>
      <c r="BN66" s="57">
        <f>+'KTR-Ausweis Gesamtansicht'!BS66</f>
        <v>0</v>
      </c>
      <c r="BO66" s="57">
        <f>+'KTR-Ausweis Gesamtansicht'!BT66</f>
        <v>0</v>
      </c>
      <c r="BP66" s="57">
        <f>+'KTR-Ausweis Gesamtansicht'!BU66</f>
        <v>0</v>
      </c>
      <c r="BQ66" s="57">
        <f>+'KTR-Ausweis Gesamtansicht'!BV66</f>
        <v>0</v>
      </c>
      <c r="BR66" s="57">
        <f>+'KTR-Ausweis Gesamtansicht'!BW66</f>
        <v>0</v>
      </c>
      <c r="BZ66" s="57">
        <f>+'KTR-Ausweis Gesamtansicht'!CE66</f>
        <v>0</v>
      </c>
      <c r="CA66" s="57">
        <f>+'KTR-Ausweis Gesamtansicht'!CF66</f>
        <v>0</v>
      </c>
      <c r="CB66" s="57">
        <f>+'KTR-Ausweis Gesamtansicht'!CG66</f>
        <v>0</v>
      </c>
      <c r="CC66" s="57">
        <f>+'KTR-Ausweis Gesamtansicht'!CH66</f>
        <v>0</v>
      </c>
    </row>
    <row r="67" spans="1:81" s="55" customFormat="1" ht="12">
      <c r="A67" s="218"/>
      <c r="B67" s="223" t="str">
        <f>+'KTR-Ausweis Gesamtansicht'!B67</f>
        <v>Nicht patientenbezogene Kosten (können ganze Kst sein)</v>
      </c>
      <c r="C67" s="33" t="str">
        <f>+'KTR-Ausweis Gesamtansicht'!C67</f>
        <v>CHF-Betrag</v>
      </c>
      <c r="M67" s="57">
        <f>+'KTR-Ausweis Gesamtansicht'!R67</f>
        <v>0</v>
      </c>
      <c r="BA67" s="57">
        <f>+'KTR-Ausweis Gesamtansicht'!BF67</f>
        <v>0</v>
      </c>
      <c r="BN67" s="57">
        <f>+'KTR-Ausweis Gesamtansicht'!BS67</f>
        <v>0</v>
      </c>
      <c r="BO67" s="57">
        <f>+'KTR-Ausweis Gesamtansicht'!BT67</f>
        <v>0</v>
      </c>
      <c r="BP67" s="57">
        <f>+'KTR-Ausweis Gesamtansicht'!BU67</f>
        <v>0</v>
      </c>
      <c r="BQ67" s="57">
        <f>+'KTR-Ausweis Gesamtansicht'!BV67</f>
        <v>0</v>
      </c>
      <c r="BR67" s="57">
        <f>+'KTR-Ausweis Gesamtansicht'!BW67</f>
        <v>0</v>
      </c>
      <c r="BZ67" s="57">
        <f>+'KTR-Ausweis Gesamtansicht'!CE67</f>
        <v>0</v>
      </c>
      <c r="CA67" s="57">
        <f>+'KTR-Ausweis Gesamtansicht'!CF67</f>
        <v>0</v>
      </c>
      <c r="CB67" s="57">
        <f>+'KTR-Ausweis Gesamtansicht'!CG67</f>
        <v>0</v>
      </c>
      <c r="CC67" s="57">
        <f>+'KTR-Ausweis Gesamtansicht'!CH67</f>
        <v>0</v>
      </c>
    </row>
    <row r="68" spans="1:81" s="60" customFormat="1" ht="12">
      <c r="A68" s="53" t="str">
        <f>+'KTR-Ausweis Gesamtansicht'!A68</f>
        <v>Total Gemeinkosten (exkl. Anlagenutzungskosten des Kostenblocks A')</v>
      </c>
      <c r="B68" s="79"/>
      <c r="C68" s="39"/>
      <c r="M68" s="59">
        <f>+'KTR-Ausweis Gesamtansicht'!R68</f>
        <v>0</v>
      </c>
      <c r="BA68" s="59">
        <f>+'KTR-Ausweis Gesamtansicht'!BF68</f>
        <v>0</v>
      </c>
      <c r="BN68" s="59">
        <f>+'KTR-Ausweis Gesamtansicht'!BS68</f>
        <v>0</v>
      </c>
      <c r="BO68" s="59">
        <f>+'KTR-Ausweis Gesamtansicht'!BT68</f>
        <v>0</v>
      </c>
      <c r="BP68" s="59">
        <f>+'KTR-Ausweis Gesamtansicht'!BU68</f>
        <v>0</v>
      </c>
      <c r="BQ68" s="59">
        <f>+'KTR-Ausweis Gesamtansicht'!BV68</f>
        <v>0</v>
      </c>
      <c r="BR68" s="59">
        <f>+'KTR-Ausweis Gesamtansicht'!BW68</f>
        <v>0</v>
      </c>
      <c r="BZ68" s="59">
        <f>+'KTR-Ausweis Gesamtansicht'!CE68</f>
        <v>0</v>
      </c>
      <c r="CA68" s="59">
        <f>+'KTR-Ausweis Gesamtansicht'!CF68</f>
        <v>0</v>
      </c>
      <c r="CB68" s="59">
        <f>+'KTR-Ausweis Gesamtansicht'!CG68</f>
        <v>0</v>
      </c>
      <c r="CC68" s="59">
        <f>+'KTR-Ausweis Gesamtansicht'!CH68</f>
        <v>0</v>
      </c>
    </row>
    <row r="69" spans="1:81" s="55" customFormat="1" ht="12">
      <c r="A69" s="52" t="str">
        <f>+'KTR-Ausweis Gesamtansicht'!A69</f>
        <v>Summe der verrechneten Anlagenutzungskosten nach</v>
      </c>
      <c r="B69" s="46"/>
      <c r="C69" s="33" t="str">
        <f>+'KTR-Ausweis Gesamtansicht'!C69</f>
        <v>REKOLE</v>
      </c>
      <c r="M69" s="57">
        <f>+'KTR-Ausweis Gesamtansicht'!R69</f>
        <v>0</v>
      </c>
      <c r="BA69" s="57">
        <f>+'KTR-Ausweis Gesamtansicht'!BF69</f>
        <v>0</v>
      </c>
      <c r="BN69" s="57">
        <f>+'KTR-Ausweis Gesamtansicht'!BS69</f>
        <v>0</v>
      </c>
      <c r="BO69" s="57">
        <f>+'KTR-Ausweis Gesamtansicht'!BT69</f>
        <v>0</v>
      </c>
      <c r="BP69" s="57">
        <f>+'KTR-Ausweis Gesamtansicht'!BU69</f>
        <v>0</v>
      </c>
      <c r="BQ69" s="57">
        <f>+'KTR-Ausweis Gesamtansicht'!BV69</f>
        <v>0</v>
      </c>
      <c r="BR69" s="57">
        <f>+'KTR-Ausweis Gesamtansicht'!BW69</f>
        <v>0</v>
      </c>
      <c r="BZ69" s="57">
        <f>+'KTR-Ausweis Gesamtansicht'!CE69</f>
        <v>0</v>
      </c>
      <c r="CA69" s="57">
        <f>+'KTR-Ausweis Gesamtansicht'!CF69</f>
        <v>0</v>
      </c>
      <c r="CB69" s="57">
        <f>+'KTR-Ausweis Gesamtansicht'!CG69</f>
        <v>0</v>
      </c>
      <c r="CC69" s="57">
        <f>+'KTR-Ausweis Gesamtansicht'!CH69</f>
        <v>0</v>
      </c>
    </row>
    <row r="70" spans="1:81" s="55" customFormat="1" ht="12">
      <c r="A70" s="52" t="str">
        <f>+'KTR-Ausweis Gesamtansicht'!A70</f>
        <v>Total ILV (inkl. Anlagenutzung)</v>
      </c>
      <c r="B70" s="46"/>
      <c r="C70" s="39"/>
      <c r="M70" s="57">
        <f>+'KTR-Ausweis Gesamtansicht'!R70</f>
        <v>0</v>
      </c>
      <c r="BA70" s="57">
        <f>+'KTR-Ausweis Gesamtansicht'!BF70</f>
        <v>0</v>
      </c>
      <c r="BN70" s="57">
        <f>+'KTR-Ausweis Gesamtansicht'!BS70</f>
        <v>0</v>
      </c>
      <c r="BO70" s="57">
        <f>+'KTR-Ausweis Gesamtansicht'!BT70</f>
        <v>0</v>
      </c>
      <c r="BP70" s="57">
        <f>+'KTR-Ausweis Gesamtansicht'!BU70</f>
        <v>0</v>
      </c>
      <c r="BQ70" s="57">
        <f>+'KTR-Ausweis Gesamtansicht'!BV70</f>
        <v>0</v>
      </c>
      <c r="BR70" s="57">
        <f>+'KTR-Ausweis Gesamtansicht'!BW70</f>
        <v>0</v>
      </c>
      <c r="BZ70" s="57">
        <f>+'KTR-Ausweis Gesamtansicht'!CE70</f>
        <v>0</v>
      </c>
      <c r="CA70" s="57">
        <f>+'KTR-Ausweis Gesamtansicht'!CF70</f>
        <v>0</v>
      </c>
      <c r="CB70" s="57">
        <f>+'KTR-Ausweis Gesamtansicht'!CG70</f>
        <v>0</v>
      </c>
      <c r="CC70" s="57">
        <f>+'KTR-Ausweis Gesamtansicht'!CH70</f>
        <v>0</v>
      </c>
    </row>
    <row r="71" spans="1:81" s="64" customFormat="1" ht="15">
      <c r="A71" s="61" t="str">
        <f>+'KTR-Ausweis Gesamtansicht'!A71</f>
        <v>Total Kosten (Einzel- und Gemeinkosten)</v>
      </c>
      <c r="B71" s="62"/>
      <c r="C71" s="39"/>
      <c r="M71" s="63">
        <f>+'KTR-Ausweis Gesamtansicht'!R71</f>
        <v>0</v>
      </c>
      <c r="BA71" s="63">
        <f>+'KTR-Ausweis Gesamtansicht'!BF71</f>
        <v>0</v>
      </c>
      <c r="BN71" s="63">
        <f>+'KTR-Ausweis Gesamtansicht'!BS71</f>
        <v>0</v>
      </c>
      <c r="BO71" s="63">
        <f>+'KTR-Ausweis Gesamtansicht'!BT71</f>
        <v>0</v>
      </c>
      <c r="BP71" s="63">
        <f>+'KTR-Ausweis Gesamtansicht'!BU71</f>
        <v>0</v>
      </c>
      <c r="BQ71" s="63">
        <f>+'KTR-Ausweis Gesamtansicht'!BV71</f>
        <v>0</v>
      </c>
      <c r="BR71" s="63">
        <f>+'KTR-Ausweis Gesamtansicht'!BW71</f>
        <v>0</v>
      </c>
      <c r="BZ71" s="63">
        <f>+'KTR-Ausweis Gesamtansicht'!CE71</f>
        <v>0</v>
      </c>
      <c r="CA71" s="63">
        <f>+'KTR-Ausweis Gesamtansicht'!CF71</f>
        <v>0</v>
      </c>
      <c r="CB71" s="63">
        <f>+'KTR-Ausweis Gesamtansicht'!CG71</f>
        <v>0</v>
      </c>
      <c r="CC71" s="63">
        <f>+'KTR-Ausweis Gesamtansicht'!CH71</f>
        <v>0</v>
      </c>
    </row>
    <row r="72" spans="1:81" s="55" customFormat="1" ht="12">
      <c r="A72" s="210" t="str">
        <f>+'KTR-Ausweis Gesamtansicht'!A72</f>
        <v>Total Kosten (Einzel- und Gemeinkosten) ohne Anlagenutzung</v>
      </c>
      <c r="B72" s="46"/>
      <c r="C72" s="211"/>
      <c r="M72" s="57">
        <f>+'KTR-Ausweis Gesamtansicht'!R72</f>
        <v>0</v>
      </c>
      <c r="BA72" s="57">
        <f>+'KTR-Ausweis Gesamtansicht'!BF72</f>
        <v>0</v>
      </c>
      <c r="BN72" s="57">
        <f>+'KTR-Ausweis Gesamtansicht'!BS72</f>
        <v>0</v>
      </c>
      <c r="BO72" s="57">
        <f>+'KTR-Ausweis Gesamtansicht'!BT72</f>
        <v>0</v>
      </c>
      <c r="BP72" s="57">
        <f>+'KTR-Ausweis Gesamtansicht'!BU72</f>
        <v>0</v>
      </c>
      <c r="BQ72" s="57">
        <f>+'KTR-Ausweis Gesamtansicht'!BV72</f>
        <v>0</v>
      </c>
      <c r="BR72" s="57">
        <f>+'KTR-Ausweis Gesamtansicht'!BW72</f>
        <v>0</v>
      </c>
      <c r="BZ72" s="57">
        <f>+'KTR-Ausweis Gesamtansicht'!CE72</f>
        <v>0</v>
      </c>
      <c r="CA72" s="57">
        <f>+'KTR-Ausweis Gesamtansicht'!CF72</f>
        <v>0</v>
      </c>
      <c r="CB72" s="57">
        <f>+'KTR-Ausweis Gesamtansicht'!CG72</f>
        <v>0</v>
      </c>
      <c r="CC72" s="57">
        <f>+'KTR-Ausweis Gesamtansicht'!CH72</f>
        <v>0</v>
      </c>
    </row>
    <row r="73" spans="1:81" s="81" customFormat="1" ht="15">
      <c r="A73" s="61" t="str">
        <f>+'KTR-Ausweis Gesamtansicht'!A73</f>
        <v>Ergebnis (+ = Gewinn / - = Verlust)</v>
      </c>
      <c r="B73" s="82"/>
      <c r="C73" s="83"/>
      <c r="M73" s="90"/>
      <c r="BA73" s="90"/>
      <c r="BN73" s="90"/>
      <c r="BO73" s="90"/>
      <c r="BP73" s="90"/>
      <c r="BQ73" s="90"/>
      <c r="BR73" s="90"/>
      <c r="BZ73" s="90"/>
      <c r="CA73" s="90"/>
      <c r="CB73" s="90"/>
      <c r="CC73" s="90"/>
    </row>
    <row r="75" spans="1:81" s="55" customFormat="1" ht="12">
      <c r="A75" s="1510" t="str">
        <f>'KTR-Ausweis Gesamtansicht'!A76</f>
        <v>verrechnete Anlagenutzungskosten nach VKL</v>
      </c>
      <c r="B75" s="1511"/>
      <c r="C75" s="39"/>
      <c r="M75" s="57">
        <f>'KTR-Ausweis Gesamtansicht'!R76</f>
        <v>0</v>
      </c>
      <c r="BA75" s="57">
        <f>'KTR-Ausweis Gesamtansicht'!BF76</f>
        <v>0</v>
      </c>
      <c r="BN75" s="57">
        <f>'KTR-Ausweis Gesamtansicht'!BS76</f>
        <v>0</v>
      </c>
      <c r="BO75" s="57">
        <f>'KTR-Ausweis Gesamtansicht'!BT76</f>
        <v>0</v>
      </c>
      <c r="BP75" s="57">
        <f>'KTR-Ausweis Gesamtansicht'!BU76</f>
        <v>0</v>
      </c>
      <c r="BQ75" s="57">
        <f>'KTR-Ausweis Gesamtansicht'!BV76</f>
        <v>0</v>
      </c>
      <c r="BR75" s="57">
        <f>'KTR-Ausweis Gesamtansicht'!BW76</f>
        <v>0</v>
      </c>
      <c r="BZ75" s="57">
        <f>'KTR-Ausweis Gesamtansicht'!CE76</f>
        <v>0</v>
      </c>
      <c r="CA75" s="57">
        <f>'KTR-Ausweis Gesamtansicht'!CF76</f>
        <v>0</v>
      </c>
      <c r="CB75" s="57">
        <f>'KTR-Ausweis Gesamtansicht'!CG76</f>
        <v>0</v>
      </c>
      <c r="CC75" s="57">
        <f>'KTR-Ausweis Gesamtansicht'!CH76</f>
        <v>0</v>
      </c>
    </row>
  </sheetData>
  <sheetProtection formatCells="0" formatColumns="0" formatRows="0"/>
  <mergeCells count="4">
    <mergeCell ref="C29:C30"/>
    <mergeCell ref="C32:C33"/>
    <mergeCell ref="C25:C28"/>
    <mergeCell ref="A75:B75"/>
  </mergeCells>
  <printOptions headings="1"/>
  <pageMargins left="0.51181102362204722" right="0.27" top="0.34" bottom="0.3" header="0.19" footer="0.15748031496062992"/>
  <pageSetup paperSize="9" scale="52" fitToWidth="0" orientation="landscape" r:id="rId1"/>
  <headerFooter>
    <oddFooter>&amp;C&amp;8&amp;P / &amp;N&amp;R&amp;8&amp;D/&amp;F/&amp;A/thr</oddFooter>
  </headerFooter>
  <drawing r:id="rId2"/>
  <picture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tabColor rgb="FF00B050"/>
  </sheetPr>
  <dimension ref="A1:CB81"/>
  <sheetViews>
    <sheetView showGridLines="0" zoomScale="75" zoomScaleNormal="75" workbookViewId="0">
      <pane xSplit="2" ySplit="7" topLeftCell="C8" activePane="bottomRight" state="frozen"/>
      <selection activeCell="BV9" activeCellId="1" sqref="BK9 BV9"/>
      <selection pane="topRight" activeCell="BV9" activeCellId="1" sqref="BK9 BV9"/>
      <selection pane="bottomLeft" activeCell="BV9" activeCellId="1" sqref="BK9 BV9"/>
      <selection pane="bottomRight" activeCell="B3" sqref="B3"/>
    </sheetView>
  </sheetViews>
  <sheetFormatPr baseColWidth="10" defaultColWidth="11.42578125" defaultRowHeight="12.75" outlineLevelCol="1"/>
  <cols>
    <col min="1" max="1" width="8.140625" style="10" bestFit="1" customWidth="1"/>
    <col min="2" max="2" width="79" style="10" customWidth="1"/>
    <col min="3" max="8" width="15.28515625" style="10" customWidth="1"/>
    <col min="18" max="18" width="15.28515625" style="76" customWidth="1" collapsed="1"/>
    <col min="46" max="46" width="15.28515625" style="10" customWidth="1" collapsed="1"/>
    <col min="59" max="59" width="15.28515625" style="10" customWidth="1" collapsed="1"/>
    <col min="67" max="67" width="15.28515625" style="10" customWidth="1" collapsed="1"/>
    <col min="68" max="70" width="15.28515625" style="10" customWidth="1"/>
    <col min="71" max="71" width="15.28515625" style="10" customWidth="1" collapsed="1"/>
    <col min="72" max="75" width="15.28515625" style="10" customWidth="1"/>
    <col min="76" max="16384" width="11.42578125" style="10"/>
  </cols>
  <sheetData>
    <row r="1" spans="1:75" ht="26.25">
      <c r="C1" s="9" t="str">
        <f>+'ITAR_K Gesamtansicht'!C1</f>
        <v>Integriertes Tarifmodell Kostenträgerrechnung (ITAR-K) CH V5.0</v>
      </c>
      <c r="D1" s="8"/>
      <c r="E1" s="8"/>
      <c r="F1" s="8"/>
      <c r="G1" s="8"/>
      <c r="H1" s="8"/>
    </row>
    <row r="2" spans="1:75" ht="23.25">
      <c r="C2" s="151" t="str">
        <f>+'ITAR_K Gesamtansicht'!C2</f>
        <v>Nach einer Idee von Hans Isler, Inselspital</v>
      </c>
      <c r="E2" s="215" t="s">
        <v>151</v>
      </c>
    </row>
    <row r="3" spans="1:75" ht="18">
      <c r="C3" s="179">
        <f>+'ITAR_K Gesamtansicht'!C3</f>
        <v>0</v>
      </c>
    </row>
    <row r="4" spans="1:75">
      <c r="C4" s="2" t="str">
        <f>+'ITAR_K Gesamtansicht'!C4</f>
        <v>Kostenbasis = Kostenträgerrechnung nach REKOLE® zu Vollkosten</v>
      </c>
      <c r="R4" s="144"/>
    </row>
    <row r="5" spans="1:75">
      <c r="C5" s="177" t="str">
        <f>+'ITAR_K Gesamtansicht'!C5</f>
        <v>Modell Kostenträgerrechnung</v>
      </c>
      <c r="E5" s="1512" t="s">
        <v>555</v>
      </c>
      <c r="F5" s="563" t="str">
        <f>+'ITAR_K Gesamtansicht'!F5</f>
        <v>Name</v>
      </c>
      <c r="G5" s="564" t="str">
        <f>+'ITAR_K Gesamtansicht'!G5</f>
        <v>Tel.nr.</v>
      </c>
      <c r="H5" s="565" t="str">
        <f>+'ITAR_K Gesamtansicht'!H5</f>
        <v>Mail-Adresse</v>
      </c>
    </row>
    <row r="6" spans="1:75" ht="13.5" thickBot="1">
      <c r="C6" s="10" t="str">
        <f>+'ITAR_K Gesamtansicht'!C6</f>
        <v>Geschäftsjahr</v>
      </c>
      <c r="D6" s="13">
        <f>+'ITAR_K Gesamtansicht'!D6</f>
        <v>0</v>
      </c>
      <c r="E6" s="1513"/>
      <c r="F6" s="566">
        <f>'ITAR_K Gesamtansicht'!F6</f>
        <v>0</v>
      </c>
      <c r="G6" s="566">
        <f>'ITAR_K Gesamtansicht'!G6</f>
        <v>0</v>
      </c>
      <c r="H6" s="566">
        <f>'ITAR_K Gesamtansicht'!H6</f>
        <v>0</v>
      </c>
    </row>
    <row r="7" spans="1:75" s="129" customFormat="1" ht="51.75" thickBot="1">
      <c r="A7" s="125" t="str">
        <f>+'ITAR_K Gesamtansicht'!A7</f>
        <v>Koa-Gr.</v>
      </c>
      <c r="B7" s="165" t="str">
        <f>+'ITAR_K Gesamtansicht'!B7</f>
        <v>Beschreibung</v>
      </c>
      <c r="C7" s="164" t="str">
        <f>+'ITAR_K Gesamtansicht'!C7</f>
        <v>Total Aufwand
FiBu</v>
      </c>
      <c r="D7" s="126" t="str">
        <f>+'ITAR_K Gesamtansicht'!D7</f>
        <v>sachl. 
Abgrenz.</v>
      </c>
      <c r="E7" s="561" t="str">
        <f>+'ITAR_K Gesamtansicht'!E7</f>
        <v>Total BEBU Zeitrechnung</v>
      </c>
      <c r="F7" s="562" t="str">
        <f>+'ITAR_K Gesamtansicht'!F7</f>
        <v>Neben-
Betriebe</v>
      </c>
      <c r="G7" s="562" t="str">
        <f>'ITAR_K Gesamtansicht'!G7</f>
        <v>Überlieger-korrektur Stationär Vorjahr</v>
      </c>
      <c r="H7" s="562" t="str">
        <f>+'ITAR_K Gesamtansicht'!H7</f>
        <v>Überlieger-korrektur Stationär laufendes Jahr</v>
      </c>
      <c r="R7" s="475" t="str">
        <f>+'ITAR_K Gesamtansicht'!R7</f>
        <v>Total 
stationär, SwissDRG relevant</v>
      </c>
      <c r="AT7" s="475" t="str">
        <f>+'ITAR_K Gesamtansicht'!BF7</f>
        <v>Total Rehabilitation stationär</v>
      </c>
      <c r="BG7" s="475" t="str">
        <f>+'ITAR_K Gesamtansicht'!BS7</f>
        <v>Total 
Psychiatrie stationär</v>
      </c>
      <c r="BO7" s="396" t="str">
        <f>+'ITAR_K Gesamtansicht'!BT7</f>
        <v>geriatrische Langzeit
stationär</v>
      </c>
      <c r="BP7" s="396" t="str">
        <f>+'ITAR_K Gesamtansicht'!BU7</f>
        <v>Palliativ
stationär</v>
      </c>
      <c r="BQ7" s="396" t="str">
        <f>+'ITAR_K Gesamtansicht'!BV7</f>
        <v>weitere Tarife (z. B. SVK)
stationär</v>
      </c>
      <c r="BR7" s="396" t="str">
        <f>'ITAR_K Gesamtansicht'!BW7</f>
        <v>Total stationär</v>
      </c>
      <c r="BS7" s="475" t="str">
        <f>+'ITAR_K Gesamtansicht'!CE7</f>
        <v>Total 
Tageskliniken Psychiatrie</v>
      </c>
      <c r="BT7" s="396" t="str">
        <f>+'ITAR_K Gesamtansicht'!CF7</f>
        <v>universitäre Lehre + Forschung</v>
      </c>
      <c r="BU7" s="396" t="str">
        <f>+'ITAR_K Gesamtansicht'!CG7</f>
        <v>übrige Aufträge an Dritte, inkl. GWL</v>
      </c>
      <c r="BV7" s="396" t="str">
        <f>+'ITAR_K Gesamtansicht'!CH7</f>
        <v xml:space="preserve"> ambulante
Behandlung
Total</v>
      </c>
      <c r="BW7" s="396" t="str">
        <f>+'ITAR_K Gesamtansicht'!CI7</f>
        <v>Total</v>
      </c>
    </row>
    <row r="8" spans="1:75">
      <c r="A8" s="110" t="str">
        <f>'ITAR_K Gesamtansicht'!A8</f>
        <v>30 - 39</v>
      </c>
      <c r="B8" s="166" t="str">
        <f>'ITAR_K Gesamtansicht'!B8</f>
        <v>Personalaufwand exkl. Honorare</v>
      </c>
      <c r="C8" s="229">
        <f>+'ITAR_K Gesamtansicht'!C8</f>
        <v>0</v>
      </c>
      <c r="D8" s="230">
        <f>+'ITAR_K Gesamtansicht'!D8</f>
        <v>0</v>
      </c>
      <c r="E8" s="231">
        <f>+'ITAR_K Gesamtansicht'!E8</f>
        <v>0</v>
      </c>
      <c r="F8" s="369">
        <f>+'ITAR_K Gesamtansicht'!F8</f>
        <v>0</v>
      </c>
      <c r="G8" s="369">
        <f>'ITAR_K Gesamtansicht'!G8</f>
        <v>0</v>
      </c>
      <c r="H8" s="369">
        <f>+'ITAR_K Gesamtansicht'!H8</f>
        <v>0</v>
      </c>
      <c r="R8" s="369">
        <f>+'ITAR_K Gesamtansicht'!R8</f>
        <v>0</v>
      </c>
      <c r="AT8" s="369">
        <f>+'ITAR_K Gesamtansicht'!BF8</f>
        <v>0</v>
      </c>
      <c r="BG8" s="369">
        <f>+'ITAR_K Gesamtansicht'!BS8</f>
        <v>0</v>
      </c>
      <c r="BO8" s="369">
        <f>+'ITAR_K Gesamtansicht'!BT8</f>
        <v>0</v>
      </c>
      <c r="BP8" s="369">
        <f>+'ITAR_K Gesamtansicht'!BU8</f>
        <v>0</v>
      </c>
      <c r="BQ8" s="369">
        <f>+'ITAR_K Gesamtansicht'!BV8</f>
        <v>0</v>
      </c>
      <c r="BR8" s="369">
        <f>'ITAR_K Gesamtansicht'!BW8</f>
        <v>0</v>
      </c>
      <c r="BS8" s="369">
        <f>+'ITAR_K Gesamtansicht'!CE8</f>
        <v>0</v>
      </c>
      <c r="BT8" s="369">
        <f>+'ITAR_K Gesamtansicht'!CF8</f>
        <v>0</v>
      </c>
      <c r="BU8" s="369">
        <f>+'ITAR_K Gesamtansicht'!CG8</f>
        <v>0</v>
      </c>
      <c r="BV8" s="369">
        <f>+'ITAR_K Gesamtansicht'!CH8</f>
        <v>0</v>
      </c>
      <c r="BW8" s="369">
        <f>+'ITAR_K Gesamtansicht'!CI8</f>
        <v>0</v>
      </c>
    </row>
    <row r="9" spans="1:75">
      <c r="A9" s="110">
        <f>'ITAR_K Gesamtansicht'!A9</f>
        <v>38</v>
      </c>
      <c r="B9" s="166" t="str">
        <f>'ITAR_K Gesamtansicht'!B9</f>
        <v>Honorare (sozialversicherungspflichtig)</v>
      </c>
      <c r="C9" s="232">
        <f>+'ITAR_K Gesamtansicht'!C9</f>
        <v>0</v>
      </c>
      <c r="D9" s="230">
        <f>+'ITAR_K Gesamtansicht'!D9</f>
        <v>0</v>
      </c>
      <c r="E9" s="231">
        <f>+'ITAR_K Gesamtansicht'!E9</f>
        <v>0</v>
      </c>
      <c r="F9" s="369">
        <f>+'ITAR_K Gesamtansicht'!F9</f>
        <v>0</v>
      </c>
      <c r="G9" s="369">
        <f>'ITAR_K Gesamtansicht'!G9</f>
        <v>0</v>
      </c>
      <c r="H9" s="369">
        <f>+'ITAR_K Gesamtansicht'!H9</f>
        <v>0</v>
      </c>
      <c r="R9" s="369">
        <f>+'ITAR_K Gesamtansicht'!R9</f>
        <v>0</v>
      </c>
      <c r="AT9" s="369">
        <f>+'ITAR_K Gesamtansicht'!BF9</f>
        <v>0</v>
      </c>
      <c r="BG9" s="369">
        <f>+'ITAR_K Gesamtansicht'!BS9</f>
        <v>0</v>
      </c>
      <c r="BO9" s="369">
        <f>+'ITAR_K Gesamtansicht'!BT9</f>
        <v>0</v>
      </c>
      <c r="BP9" s="369">
        <f>+'ITAR_K Gesamtansicht'!BU9</f>
        <v>0</v>
      </c>
      <c r="BQ9" s="369">
        <f>+'ITAR_K Gesamtansicht'!BV9</f>
        <v>0</v>
      </c>
      <c r="BR9" s="369">
        <f>'ITAR_K Gesamtansicht'!BW9</f>
        <v>0</v>
      </c>
      <c r="BS9" s="369">
        <f>+'ITAR_K Gesamtansicht'!CE9</f>
        <v>0</v>
      </c>
      <c r="BT9" s="369">
        <f>+'ITAR_K Gesamtansicht'!CF9</f>
        <v>0</v>
      </c>
      <c r="BU9" s="369">
        <f>+'ITAR_K Gesamtansicht'!CG9</f>
        <v>0</v>
      </c>
      <c r="BV9" s="369">
        <f>+'ITAR_K Gesamtansicht'!CH9</f>
        <v>0</v>
      </c>
      <c r="BW9" s="369">
        <f>+'ITAR_K Gesamtansicht'!CI9</f>
        <v>0</v>
      </c>
    </row>
    <row r="10" spans="1:75">
      <c r="A10" s="110">
        <f>'ITAR_K Gesamtansicht'!A10</f>
        <v>40</v>
      </c>
      <c r="B10" s="94" t="str">
        <f>'ITAR_K Gesamtansicht'!B10</f>
        <v>Medizinischer Bedarf</v>
      </c>
      <c r="C10" s="233">
        <f>+'ITAR_K Gesamtansicht'!C10</f>
        <v>0</v>
      </c>
      <c r="D10" s="234">
        <f>+'ITAR_K Gesamtansicht'!D10</f>
        <v>0</v>
      </c>
      <c r="E10" s="231">
        <f>+'ITAR_K Gesamtansicht'!E10</f>
        <v>0</v>
      </c>
      <c r="F10" s="369">
        <f>+'ITAR_K Gesamtansicht'!F10</f>
        <v>0</v>
      </c>
      <c r="G10" s="369">
        <f>'ITAR_K Gesamtansicht'!G10</f>
        <v>0</v>
      </c>
      <c r="H10" s="369">
        <f>+'ITAR_K Gesamtansicht'!H10</f>
        <v>0</v>
      </c>
      <c r="R10" s="369">
        <f>+'ITAR_K Gesamtansicht'!R10</f>
        <v>0</v>
      </c>
      <c r="AT10" s="369">
        <f>+'ITAR_K Gesamtansicht'!BF10</f>
        <v>0</v>
      </c>
      <c r="BG10" s="369">
        <f>+'ITAR_K Gesamtansicht'!BS10</f>
        <v>0</v>
      </c>
      <c r="BO10" s="369">
        <f>+'ITAR_K Gesamtansicht'!BT10</f>
        <v>0</v>
      </c>
      <c r="BP10" s="369">
        <f>+'ITAR_K Gesamtansicht'!BU10</f>
        <v>0</v>
      </c>
      <c r="BQ10" s="369">
        <f>+'ITAR_K Gesamtansicht'!BV10</f>
        <v>0</v>
      </c>
      <c r="BR10" s="369">
        <f>'ITAR_K Gesamtansicht'!BW10</f>
        <v>0</v>
      </c>
      <c r="BS10" s="369">
        <f>+'ITAR_K Gesamtansicht'!CE10</f>
        <v>0</v>
      </c>
      <c r="BT10" s="369">
        <f>+'ITAR_K Gesamtansicht'!CF10</f>
        <v>0</v>
      </c>
      <c r="BU10" s="369">
        <f>+'ITAR_K Gesamtansicht'!CG10</f>
        <v>0</v>
      </c>
      <c r="BV10" s="369">
        <f>+'ITAR_K Gesamtansicht'!CH10</f>
        <v>0</v>
      </c>
      <c r="BW10" s="369">
        <f>+'ITAR_K Gesamtansicht'!CI10</f>
        <v>0</v>
      </c>
    </row>
    <row r="11" spans="1:75">
      <c r="A11" s="110" t="str">
        <f>'ITAR_K Gesamtansicht'!A11</f>
        <v xml:space="preserve">41 - 49 </v>
      </c>
      <c r="B11" s="94" t="str">
        <f>'ITAR_K Gesamtansicht'!B11</f>
        <v>Sachaufwand exkl. Anlagenutzungskosten</v>
      </c>
      <c r="C11" s="233">
        <f>+'ITAR_K Gesamtansicht'!C11</f>
        <v>0</v>
      </c>
      <c r="D11" s="235">
        <f>+'ITAR_K Gesamtansicht'!D11</f>
        <v>0</v>
      </c>
      <c r="E11" s="231">
        <f>+'ITAR_K Gesamtansicht'!E11</f>
        <v>0</v>
      </c>
      <c r="F11" s="369">
        <f>+'ITAR_K Gesamtansicht'!F11</f>
        <v>0</v>
      </c>
      <c r="G11" s="369">
        <f>'ITAR_K Gesamtansicht'!G11</f>
        <v>0</v>
      </c>
      <c r="H11" s="369">
        <f>+'ITAR_K Gesamtansicht'!H11</f>
        <v>0</v>
      </c>
      <c r="R11" s="369">
        <f>+'ITAR_K Gesamtansicht'!R11</f>
        <v>0</v>
      </c>
      <c r="AT11" s="369">
        <f>+'ITAR_K Gesamtansicht'!BF11</f>
        <v>0</v>
      </c>
      <c r="BG11" s="369">
        <f>+'ITAR_K Gesamtansicht'!BS11</f>
        <v>0</v>
      </c>
      <c r="BO11" s="369">
        <f>+'ITAR_K Gesamtansicht'!BT11</f>
        <v>0</v>
      </c>
      <c r="BP11" s="369">
        <f>+'ITAR_K Gesamtansicht'!BU11</f>
        <v>0</v>
      </c>
      <c r="BQ11" s="369">
        <f>+'ITAR_K Gesamtansicht'!BV11</f>
        <v>0</v>
      </c>
      <c r="BR11" s="369">
        <f>'ITAR_K Gesamtansicht'!BW11</f>
        <v>0</v>
      </c>
      <c r="BS11" s="369">
        <f>+'ITAR_K Gesamtansicht'!CE11</f>
        <v>0</v>
      </c>
      <c r="BT11" s="369">
        <f>+'ITAR_K Gesamtansicht'!CF11</f>
        <v>0</v>
      </c>
      <c r="BU11" s="369">
        <f>+'ITAR_K Gesamtansicht'!CG11</f>
        <v>0</v>
      </c>
      <c r="BV11" s="369">
        <f>+'ITAR_K Gesamtansicht'!CH11</f>
        <v>0</v>
      </c>
      <c r="BW11" s="369">
        <f>+'ITAR_K Gesamtansicht'!CI11</f>
        <v>0</v>
      </c>
    </row>
    <row r="12" spans="1:75">
      <c r="A12" s="110">
        <f>'ITAR_K Gesamtansicht'!A12</f>
        <v>44</v>
      </c>
      <c r="B12" s="94" t="str">
        <f>'ITAR_K Gesamtansicht'!B12</f>
        <v>Anlagenutzungskosten (exkl. Inv. &lt; CHF 10'000)</v>
      </c>
      <c r="C12" s="233">
        <f>+'ITAR_K Gesamtansicht'!C12</f>
        <v>0</v>
      </c>
      <c r="D12" s="236">
        <f>+'ITAR_K Gesamtansicht'!D12</f>
        <v>0</v>
      </c>
      <c r="E12" s="231">
        <f>+'ITAR_K Gesamtansicht'!E12</f>
        <v>0</v>
      </c>
      <c r="F12" s="369">
        <f>+'ITAR_K Gesamtansicht'!F12</f>
        <v>0</v>
      </c>
      <c r="G12" s="369">
        <f>'ITAR_K Gesamtansicht'!G12</f>
        <v>0</v>
      </c>
      <c r="H12" s="369">
        <f>+'ITAR_K Gesamtansicht'!H12</f>
        <v>0</v>
      </c>
      <c r="R12" s="369">
        <f>+'ITAR_K Gesamtansicht'!R12</f>
        <v>0</v>
      </c>
      <c r="AT12" s="369">
        <f>+'ITAR_K Gesamtansicht'!BF12</f>
        <v>0</v>
      </c>
      <c r="BG12" s="369">
        <f>+'ITAR_K Gesamtansicht'!BS12</f>
        <v>0</v>
      </c>
      <c r="BO12" s="369">
        <f>+'ITAR_K Gesamtansicht'!BT12</f>
        <v>0</v>
      </c>
      <c r="BP12" s="369">
        <f>+'ITAR_K Gesamtansicht'!BU12</f>
        <v>0</v>
      </c>
      <c r="BQ12" s="369">
        <f>+'ITAR_K Gesamtansicht'!BV12</f>
        <v>0</v>
      </c>
      <c r="BR12" s="369">
        <f>'ITAR_K Gesamtansicht'!BW12</f>
        <v>0</v>
      </c>
      <c r="BS12" s="369">
        <f>+'ITAR_K Gesamtansicht'!CE12</f>
        <v>0</v>
      </c>
      <c r="BT12" s="369">
        <f>+'ITAR_K Gesamtansicht'!CF12</f>
        <v>0</v>
      </c>
      <c r="BU12" s="369">
        <f>+'ITAR_K Gesamtansicht'!CG12</f>
        <v>0</v>
      </c>
      <c r="BV12" s="369">
        <f>+'ITAR_K Gesamtansicht'!CH12</f>
        <v>0</v>
      </c>
      <c r="BW12" s="369">
        <f>+'ITAR_K Gesamtansicht'!CI12</f>
        <v>0</v>
      </c>
    </row>
    <row r="13" spans="1:75">
      <c r="A13" s="110">
        <f>'ITAR_K Gesamtansicht'!A13</f>
        <v>46</v>
      </c>
      <c r="B13" s="94" t="str">
        <f>'ITAR_K Gesamtansicht'!B13</f>
        <v>Zinsaufwand</v>
      </c>
      <c r="C13" s="233">
        <f>+'ITAR_K Gesamtansicht'!C13</f>
        <v>0</v>
      </c>
      <c r="D13" s="236">
        <f>+'ITAR_K Gesamtansicht'!D13</f>
        <v>0</v>
      </c>
      <c r="E13" s="231">
        <f>+'ITAR_K Gesamtansicht'!E13</f>
        <v>0</v>
      </c>
      <c r="F13" s="369">
        <f>+'ITAR_K Gesamtansicht'!F13</f>
        <v>0</v>
      </c>
      <c r="G13" s="369">
        <f>'ITAR_K Gesamtansicht'!G13</f>
        <v>0</v>
      </c>
      <c r="H13" s="369">
        <f>+'ITAR_K Gesamtansicht'!H13</f>
        <v>0</v>
      </c>
      <c r="R13" s="369">
        <f>+'ITAR_K Gesamtansicht'!R13</f>
        <v>0</v>
      </c>
      <c r="AT13" s="369">
        <f>+'ITAR_K Gesamtansicht'!BF13</f>
        <v>0</v>
      </c>
      <c r="BG13" s="369">
        <f>+'ITAR_K Gesamtansicht'!BS13</f>
        <v>0</v>
      </c>
      <c r="BO13" s="369">
        <f>+'ITAR_K Gesamtansicht'!BT13</f>
        <v>0</v>
      </c>
      <c r="BP13" s="369">
        <f>+'ITAR_K Gesamtansicht'!BU13</f>
        <v>0</v>
      </c>
      <c r="BQ13" s="369">
        <f>+'ITAR_K Gesamtansicht'!BV13</f>
        <v>0</v>
      </c>
      <c r="BR13" s="369">
        <f>'ITAR_K Gesamtansicht'!BW13</f>
        <v>0</v>
      </c>
      <c r="BS13" s="369">
        <f>+'ITAR_K Gesamtansicht'!CE13</f>
        <v>0</v>
      </c>
      <c r="BT13" s="369">
        <f>+'ITAR_K Gesamtansicht'!CF13</f>
        <v>0</v>
      </c>
      <c r="BU13" s="369">
        <f>+'ITAR_K Gesamtansicht'!CG13</f>
        <v>0</v>
      </c>
      <c r="BV13" s="369">
        <f>+'ITAR_K Gesamtansicht'!CH13</f>
        <v>0</v>
      </c>
      <c r="BW13" s="369">
        <f>+'ITAR_K Gesamtansicht'!CI13</f>
        <v>0</v>
      </c>
    </row>
    <row r="14" spans="1:75">
      <c r="A14" s="110">
        <f>'ITAR_K Gesamtansicht'!A14</f>
        <v>7</v>
      </c>
      <c r="B14" s="94" t="str">
        <f>'ITAR_K Gesamtansicht'!B14</f>
        <v>a.o. Aufwand</v>
      </c>
      <c r="C14" s="233">
        <f>+'ITAR_K Gesamtansicht'!C14</f>
        <v>0</v>
      </c>
      <c r="D14" s="236">
        <f>+'ITAR_K Gesamtansicht'!D14</f>
        <v>0</v>
      </c>
      <c r="E14" s="231">
        <f>+'ITAR_K Gesamtansicht'!E14</f>
        <v>0</v>
      </c>
      <c r="F14" s="369">
        <f>+'ITAR_K Gesamtansicht'!F14</f>
        <v>0</v>
      </c>
      <c r="G14" s="369">
        <f>'ITAR_K Gesamtansicht'!G14</f>
        <v>0</v>
      </c>
      <c r="H14" s="369">
        <f>+'ITAR_K Gesamtansicht'!H14</f>
        <v>0</v>
      </c>
      <c r="R14" s="369">
        <f>+'ITAR_K Gesamtansicht'!R14</f>
        <v>0</v>
      </c>
      <c r="AT14" s="369">
        <f>+'ITAR_K Gesamtansicht'!BF14</f>
        <v>0</v>
      </c>
      <c r="BG14" s="369">
        <f>+'ITAR_K Gesamtansicht'!BS14</f>
        <v>0</v>
      </c>
      <c r="BO14" s="369">
        <f>+'ITAR_K Gesamtansicht'!BT14</f>
        <v>0</v>
      </c>
      <c r="BP14" s="369">
        <f>+'ITAR_K Gesamtansicht'!BU14</f>
        <v>0</v>
      </c>
      <c r="BQ14" s="369">
        <f>+'ITAR_K Gesamtansicht'!BV14</f>
        <v>0</v>
      </c>
      <c r="BR14" s="369">
        <f>'ITAR_K Gesamtansicht'!BW14</f>
        <v>0</v>
      </c>
      <c r="BS14" s="369">
        <f>+'ITAR_K Gesamtansicht'!CE14</f>
        <v>0</v>
      </c>
      <c r="BT14" s="369">
        <f>+'ITAR_K Gesamtansicht'!CF14</f>
        <v>0</v>
      </c>
      <c r="BU14" s="369">
        <f>+'ITAR_K Gesamtansicht'!CG14</f>
        <v>0</v>
      </c>
      <c r="BV14" s="369">
        <f>+'ITAR_K Gesamtansicht'!CH14</f>
        <v>0</v>
      </c>
      <c r="BW14" s="369">
        <f>+'ITAR_K Gesamtansicht'!CI14</f>
        <v>0</v>
      </c>
    </row>
    <row r="15" spans="1:75">
      <c r="A15" s="110"/>
      <c r="B15" s="105" t="str">
        <f>'ITAR_K Gesamtansicht'!B15</f>
        <v>Aufwand gem. Jahresrechnung</v>
      </c>
      <c r="C15" s="24">
        <f>+'ITAR_K Gesamtansicht'!C15</f>
        <v>0</v>
      </c>
      <c r="D15" s="134">
        <f>+'ITAR_K Gesamtansicht'!D15</f>
        <v>0</v>
      </c>
      <c r="E15" s="24">
        <f>+'ITAR_K Gesamtansicht'!E15</f>
        <v>0</v>
      </c>
      <c r="F15" s="361">
        <f>+'ITAR_K Gesamtansicht'!F15</f>
        <v>0</v>
      </c>
      <c r="G15" s="361">
        <f>'ITAR_K Gesamtansicht'!G15</f>
        <v>0</v>
      </c>
      <c r="H15" s="361">
        <f>+'ITAR_K Gesamtansicht'!H15</f>
        <v>0</v>
      </c>
      <c r="R15" s="361">
        <f>+'ITAR_K Gesamtansicht'!R15</f>
        <v>0</v>
      </c>
      <c r="AT15" s="361">
        <f>+'ITAR_K Gesamtansicht'!BF15</f>
        <v>0</v>
      </c>
      <c r="BG15" s="361">
        <f>+'ITAR_K Gesamtansicht'!BS15</f>
        <v>0</v>
      </c>
      <c r="BO15" s="361">
        <f>+'ITAR_K Gesamtansicht'!BT15</f>
        <v>0</v>
      </c>
      <c r="BP15" s="361">
        <f>+'ITAR_K Gesamtansicht'!BU15</f>
        <v>0</v>
      </c>
      <c r="BQ15" s="361">
        <f>+'ITAR_K Gesamtansicht'!BV15</f>
        <v>0</v>
      </c>
      <c r="BR15" s="361">
        <f>'ITAR_K Gesamtansicht'!BW15</f>
        <v>0</v>
      </c>
      <c r="BS15" s="361">
        <f>+'ITAR_K Gesamtansicht'!CE15</f>
        <v>0</v>
      </c>
      <c r="BT15" s="361">
        <f>+'ITAR_K Gesamtansicht'!CF15</f>
        <v>0</v>
      </c>
      <c r="BU15" s="361">
        <f>+'ITAR_K Gesamtansicht'!CG15</f>
        <v>0</v>
      </c>
      <c r="BV15" s="361">
        <f>+'ITAR_K Gesamtansicht'!CH15</f>
        <v>0</v>
      </c>
      <c r="BW15" s="361">
        <f>+'ITAR_K Gesamtansicht'!CI15</f>
        <v>0</v>
      </c>
    </row>
    <row r="16" spans="1:75">
      <c r="A16" s="110" t="str">
        <f>'ITAR_K Gesamtansicht'!A16</f>
        <v>66/68</v>
      </c>
      <c r="B16" s="178" t="str">
        <f>'ITAR_K Gesamtansicht'!B16</f>
        <v>./. Erlöse 66/68 als Kostenminderung einbezogen</v>
      </c>
      <c r="C16" s="12"/>
      <c r="D16" s="15"/>
      <c r="E16" s="15">
        <f>+'ITAR_K Gesamtansicht'!E16</f>
        <v>0</v>
      </c>
      <c r="F16" s="379"/>
      <c r="G16" s="379">
        <f>'ITAR_K Gesamtansicht'!G16</f>
        <v>0</v>
      </c>
      <c r="H16" s="379"/>
      <c r="R16" s="379"/>
      <c r="AT16" s="379"/>
      <c r="BG16" s="379"/>
      <c r="BO16" s="379"/>
      <c r="BP16" s="379"/>
      <c r="BQ16" s="379"/>
      <c r="BR16" s="379">
        <f>'ITAR_K Gesamtansicht'!BW16</f>
        <v>0</v>
      </c>
      <c r="BS16" s="379"/>
      <c r="BT16" s="379"/>
      <c r="BU16" s="379"/>
      <c r="BV16" s="379"/>
      <c r="BW16" s="379"/>
    </row>
    <row r="17" spans="1:75">
      <c r="A17" s="110"/>
      <c r="B17" s="106" t="str">
        <f>'ITAR_K Gesamtansicht'!B17</f>
        <v>Direkte Kosten</v>
      </c>
      <c r="C17" s="3"/>
      <c r="D17" s="4">
        <f>+'ITAR_K Gesamtansicht'!D17</f>
        <v>0</v>
      </c>
      <c r="E17" s="4">
        <f>+'ITAR_K Gesamtansicht'!E17</f>
        <v>0</v>
      </c>
      <c r="F17" s="378">
        <f>+'ITAR_K Gesamtansicht'!F17</f>
        <v>0</v>
      </c>
      <c r="G17" s="378">
        <f>'ITAR_K Gesamtansicht'!G17</f>
        <v>0</v>
      </c>
      <c r="H17" s="378">
        <f>+'ITAR_K Gesamtansicht'!H17</f>
        <v>0</v>
      </c>
      <c r="R17" s="378">
        <f>+'ITAR_K Gesamtansicht'!R17</f>
        <v>0</v>
      </c>
      <c r="AT17" s="378">
        <f>+'ITAR_K Gesamtansicht'!BF17</f>
        <v>0</v>
      </c>
      <c r="BG17" s="378">
        <f>+'ITAR_K Gesamtansicht'!BS17</f>
        <v>0</v>
      </c>
      <c r="BO17" s="378">
        <f>+'ITAR_K Gesamtansicht'!BT17</f>
        <v>0</v>
      </c>
      <c r="BP17" s="378">
        <f>+'ITAR_K Gesamtansicht'!BU17</f>
        <v>0</v>
      </c>
      <c r="BQ17" s="378">
        <f>+'ITAR_K Gesamtansicht'!BV17</f>
        <v>0</v>
      </c>
      <c r="BR17" s="378">
        <f>'ITAR_K Gesamtansicht'!BW17</f>
        <v>0</v>
      </c>
      <c r="BS17" s="378">
        <f>+'ITAR_K Gesamtansicht'!CE17</f>
        <v>0</v>
      </c>
      <c r="BT17" s="378">
        <f>+'ITAR_K Gesamtansicht'!CF17</f>
        <v>0</v>
      </c>
      <c r="BU17" s="378">
        <f>+'ITAR_K Gesamtansicht'!CG17</f>
        <v>0</v>
      </c>
      <c r="BV17" s="378">
        <f>+'ITAR_K Gesamtansicht'!CH17</f>
        <v>0</v>
      </c>
      <c r="BW17" s="378">
        <f>+'ITAR_K Gesamtansicht'!CI17</f>
        <v>0</v>
      </c>
    </row>
    <row r="18" spans="1:75" s="13" customFormat="1">
      <c r="A18" s="115" t="str">
        <f>'ITAR_K Gesamtansicht'!A18</f>
        <v>ILV</v>
      </c>
      <c r="B18" s="107" t="str">
        <f>'ITAR_K Gesamtansicht'!B18</f>
        <v>Interne Leistungsverrechnung</v>
      </c>
      <c r="C18" s="5"/>
      <c r="D18" s="6"/>
      <c r="E18" s="6"/>
      <c r="F18" s="367">
        <f>+'ITAR_K Gesamtansicht'!F18</f>
        <v>0</v>
      </c>
      <c r="G18" s="367">
        <f>'ITAR_K Gesamtansicht'!G18</f>
        <v>0</v>
      </c>
      <c r="H18" s="367">
        <f>+'ITAR_K Gesamtansicht'!H18</f>
        <v>0</v>
      </c>
      <c r="R18" s="367">
        <f>+'ITAR_K Gesamtansicht'!R18</f>
        <v>0</v>
      </c>
      <c r="AT18" s="367">
        <f>+'ITAR_K Gesamtansicht'!BF18</f>
        <v>0</v>
      </c>
      <c r="BG18" s="367">
        <f>+'ITAR_K Gesamtansicht'!BS18</f>
        <v>0</v>
      </c>
      <c r="BO18" s="367">
        <f>+'ITAR_K Gesamtansicht'!BT18</f>
        <v>0</v>
      </c>
      <c r="BP18" s="367">
        <f>+'ITAR_K Gesamtansicht'!BU18</f>
        <v>0</v>
      </c>
      <c r="BQ18" s="367">
        <f>+'ITAR_K Gesamtansicht'!BV18</f>
        <v>0</v>
      </c>
      <c r="BR18" s="367">
        <f>'ITAR_K Gesamtansicht'!BW18</f>
        <v>0</v>
      </c>
      <c r="BS18" s="367">
        <f>+'ITAR_K Gesamtansicht'!CE18</f>
        <v>0</v>
      </c>
      <c r="BT18" s="367">
        <f>+'ITAR_K Gesamtansicht'!CF18</f>
        <v>0</v>
      </c>
      <c r="BU18" s="367">
        <f>+'ITAR_K Gesamtansicht'!CG18</f>
        <v>0</v>
      </c>
      <c r="BV18" s="367">
        <f>+'ITAR_K Gesamtansicht'!CH18</f>
        <v>0</v>
      </c>
      <c r="BW18" s="367">
        <f>+'ITAR_K Gesamtansicht'!CI18</f>
        <v>0</v>
      </c>
    </row>
    <row r="19" spans="1:75" s="13" customFormat="1">
      <c r="A19" s="115"/>
      <c r="B19" s="106" t="str">
        <f>'ITAR_K Gesamtansicht'!B19</f>
        <v>Total Kosten gemäss BeBu</v>
      </c>
      <c r="C19" s="3"/>
      <c r="D19" s="4"/>
      <c r="E19" s="4"/>
      <c r="F19" s="378">
        <f>+'ITAR_K Gesamtansicht'!F19</f>
        <v>0</v>
      </c>
      <c r="G19" s="378">
        <f>'ITAR_K Gesamtansicht'!G19</f>
        <v>0</v>
      </c>
      <c r="H19" s="378">
        <f>+'ITAR_K Gesamtansicht'!H19</f>
        <v>0</v>
      </c>
      <c r="R19" s="378">
        <f>+'ITAR_K Gesamtansicht'!R19</f>
        <v>0</v>
      </c>
      <c r="AT19" s="378">
        <f>+'ITAR_K Gesamtansicht'!BF19</f>
        <v>0</v>
      </c>
      <c r="BG19" s="378">
        <f>+'ITAR_K Gesamtansicht'!BS19</f>
        <v>0</v>
      </c>
      <c r="BO19" s="378">
        <f>+'ITAR_K Gesamtansicht'!BT19</f>
        <v>0</v>
      </c>
      <c r="BP19" s="378">
        <f>+'ITAR_K Gesamtansicht'!BU19</f>
        <v>0</v>
      </c>
      <c r="BQ19" s="378">
        <f>+'ITAR_K Gesamtansicht'!BV19</f>
        <v>0</v>
      </c>
      <c r="BR19" s="378">
        <f>'ITAR_K Gesamtansicht'!BW19</f>
        <v>0</v>
      </c>
      <c r="BS19" s="378">
        <f>+'ITAR_K Gesamtansicht'!CE19</f>
        <v>0</v>
      </c>
      <c r="BT19" s="378">
        <f>+'ITAR_K Gesamtansicht'!CF19</f>
        <v>0</v>
      </c>
      <c r="BU19" s="378">
        <f>+'ITAR_K Gesamtansicht'!CG19</f>
        <v>0</v>
      </c>
      <c r="BV19" s="378">
        <f>+'ITAR_K Gesamtansicht'!CH19</f>
        <v>0</v>
      </c>
      <c r="BW19" s="378">
        <f>+'ITAR_K Gesamtansicht'!CI19</f>
        <v>0</v>
      </c>
    </row>
    <row r="20" spans="1:75" s="102" customFormat="1">
      <c r="A20" s="111" t="str">
        <f>'ITAR_K Gesamtansicht'!A20</f>
        <v>38/405</v>
      </c>
      <c r="B20" s="107" t="str">
        <f>'ITAR_K Gesamtansicht'!B20</f>
        <v>./. Arzthonorare für zusatzversicherte Patienten</v>
      </c>
      <c r="C20" s="103">
        <f>+'ITAR_K Gesamtansicht'!C20</f>
        <v>0</v>
      </c>
      <c r="D20" s="104">
        <f>+'ITAR_K Gesamtansicht'!D20</f>
        <v>0</v>
      </c>
      <c r="E20" s="104">
        <f>+'ITAR_K Gesamtansicht'!E20</f>
        <v>0</v>
      </c>
      <c r="F20" s="369"/>
      <c r="G20" s="369">
        <f>'ITAR_K Gesamtansicht'!G20</f>
        <v>0</v>
      </c>
      <c r="H20" s="369"/>
      <c r="R20" s="368">
        <f>+'ITAR_K Gesamtansicht'!R20</f>
        <v>0</v>
      </c>
      <c r="AT20" s="368">
        <f>+'ITAR_K Gesamtansicht'!BF20</f>
        <v>0</v>
      </c>
      <c r="BG20" s="368">
        <f>+'ITAR_K Gesamtansicht'!BS20</f>
        <v>0</v>
      </c>
      <c r="BO20" s="367"/>
      <c r="BP20" s="367"/>
      <c r="BQ20" s="367"/>
      <c r="BR20" s="377"/>
      <c r="BS20" s="368">
        <f>+'ITAR_K Gesamtansicht'!CE20</f>
        <v>0</v>
      </c>
      <c r="BT20" s="367"/>
      <c r="BU20" s="367"/>
      <c r="BV20" s="367"/>
      <c r="BW20" s="249"/>
    </row>
    <row r="21" spans="1:75">
      <c r="A21" s="110">
        <f>'ITAR_K Gesamtansicht'!A21</f>
        <v>44</v>
      </c>
      <c r="B21" s="94" t="str">
        <f>'ITAR_K Gesamtansicht'!B21</f>
        <v>./. Anlagenutzungskosten (ANK = kalk. Zinsen AV, kalk. Abschreibungen, Mieten für Objekte&gt; CHF 10'000) nach REKOLE</v>
      </c>
      <c r="C21" s="12">
        <f>+'ITAR_K Gesamtansicht'!C21</f>
        <v>0</v>
      </c>
      <c r="D21" s="15">
        <f>+'ITAR_K Gesamtansicht'!D21</f>
        <v>0</v>
      </c>
      <c r="E21" s="15">
        <f>+'ITAR_K Gesamtansicht'!E21</f>
        <v>0</v>
      </c>
      <c r="F21" s="369"/>
      <c r="G21" s="369">
        <f>'ITAR_K Gesamtansicht'!G21</f>
        <v>0</v>
      </c>
      <c r="H21" s="369"/>
      <c r="R21" s="368">
        <f>+'ITAR_K Gesamtansicht'!R21</f>
        <v>0</v>
      </c>
      <c r="AT21" s="368">
        <f>+'ITAR_K Gesamtansicht'!BF21</f>
        <v>0</v>
      </c>
      <c r="BG21" s="368">
        <f>+'ITAR_K Gesamtansicht'!BS21</f>
        <v>0</v>
      </c>
      <c r="BO21" s="367"/>
      <c r="BP21" s="367"/>
      <c r="BQ21" s="367"/>
      <c r="BR21" s="377"/>
      <c r="BS21" s="368">
        <f>+'ITAR_K Gesamtansicht'!CE21</f>
        <v>0</v>
      </c>
      <c r="BT21" s="367"/>
      <c r="BU21" s="367"/>
      <c r="BV21" s="367"/>
      <c r="BW21" s="249"/>
    </row>
    <row r="22" spans="1:75" s="28" customFormat="1">
      <c r="A22" s="113">
        <f>'ITAR_K Gesamtansicht'!A22</f>
        <v>65</v>
      </c>
      <c r="B22" s="107" t="str">
        <f>'ITAR_K Gesamtansicht'!B22</f>
        <v>./. Erlöse Kt.gr. 65, exkl. Marge</v>
      </c>
      <c r="C22" s="103">
        <f>+'ITAR_K Gesamtansicht'!C22</f>
        <v>0</v>
      </c>
      <c r="D22" s="237">
        <f>+'ITAR_K Gesamtansicht'!D22</f>
        <v>0</v>
      </c>
      <c r="E22" s="104">
        <f>+'ITAR_K Gesamtansicht'!E22</f>
        <v>0</v>
      </c>
      <c r="F22" s="369"/>
      <c r="G22" s="369">
        <f>'ITAR_K Gesamtansicht'!G22</f>
        <v>0</v>
      </c>
      <c r="H22" s="369"/>
      <c r="R22" s="368">
        <f>+'ITAR_K Gesamtansicht'!R22</f>
        <v>0</v>
      </c>
      <c r="AT22" s="368">
        <f>+'ITAR_K Gesamtansicht'!BF22</f>
        <v>0</v>
      </c>
      <c r="BG22" s="368">
        <f>+'ITAR_K Gesamtansicht'!BS22</f>
        <v>0</v>
      </c>
      <c r="BO22" s="367"/>
      <c r="BP22" s="367"/>
      <c r="BQ22" s="367"/>
      <c r="BR22" s="377"/>
      <c r="BS22" s="368">
        <f>+'ITAR_K Gesamtansicht'!CE22</f>
        <v>0</v>
      </c>
      <c r="BT22" s="367"/>
      <c r="BU22" s="367"/>
      <c r="BV22" s="367"/>
      <c r="BW22" s="249"/>
    </row>
    <row r="23" spans="1:75" s="28" customFormat="1">
      <c r="A23" s="113">
        <f>'ITAR_K Gesamtansicht'!A23</f>
        <v>66</v>
      </c>
      <c r="B23" s="108" t="str">
        <f>'ITAR_K Gesamtansicht'!B23</f>
        <v>+ Erlöse Kt.gr. 66 (sofern kostenmindernd in KST geführt)</v>
      </c>
      <c r="C23" s="26">
        <f>+'ITAR_K Gesamtansicht'!C23</f>
        <v>0</v>
      </c>
      <c r="D23" s="27">
        <f>+'ITAR_K Gesamtansicht'!D23</f>
        <v>0</v>
      </c>
      <c r="E23" s="104" t="e">
        <f>+'ITAR_K Gesamtansicht'!E23</f>
        <v>#DIV/0!</v>
      </c>
      <c r="F23" s="367"/>
      <c r="G23" s="367">
        <f>'ITAR_K Gesamtansicht'!G23</f>
        <v>0</v>
      </c>
      <c r="H23" s="367"/>
      <c r="R23" s="368" t="e">
        <f>+'ITAR_K Gesamtansicht'!R23</f>
        <v>#DIV/0!</v>
      </c>
      <c r="AT23" s="368" t="e">
        <f>+'ITAR_K Gesamtansicht'!BF23</f>
        <v>#DIV/0!</v>
      </c>
      <c r="BG23" s="368" t="e">
        <f>+'ITAR_K Gesamtansicht'!BS23</f>
        <v>#DIV/0!</v>
      </c>
      <c r="BO23" s="367"/>
      <c r="BP23" s="367"/>
      <c r="BQ23" s="367"/>
      <c r="BR23" s="377"/>
      <c r="BS23" s="368" t="e">
        <f>+'ITAR_K Gesamtansicht'!CE23</f>
        <v>#DIV/0!</v>
      </c>
      <c r="BT23" s="367"/>
      <c r="BU23" s="367"/>
      <c r="BV23" s="367"/>
      <c r="BW23" s="249"/>
    </row>
    <row r="24" spans="1:75">
      <c r="A24" s="110"/>
      <c r="B24" s="106" t="str">
        <f>'ITAR_K Gesamtansicht'!B24</f>
        <v>Nettobetriebskosten I (NBK I)</v>
      </c>
      <c r="C24" s="3"/>
      <c r="D24" s="4"/>
      <c r="E24" s="4"/>
      <c r="F24" s="378"/>
      <c r="G24" s="378">
        <f>'ITAR_K Gesamtansicht'!G24</f>
        <v>0</v>
      </c>
      <c r="H24" s="378"/>
      <c r="R24" s="378" t="e">
        <f>+'ITAR_K Gesamtansicht'!R24</f>
        <v>#DIV/0!</v>
      </c>
      <c r="AT24" s="378" t="e">
        <f>+'ITAR_K Gesamtansicht'!BF24</f>
        <v>#DIV/0!</v>
      </c>
      <c r="BG24" s="378" t="e">
        <f>+'ITAR_K Gesamtansicht'!BS24</f>
        <v>#DIV/0!</v>
      </c>
      <c r="BO24" s="378"/>
      <c r="BP24" s="378"/>
      <c r="BQ24" s="378"/>
      <c r="BR24" s="378"/>
      <c r="BS24" s="378" t="e">
        <f>+'ITAR_K Gesamtansicht'!CE24</f>
        <v>#DIV/0!</v>
      </c>
      <c r="BT24" s="370"/>
      <c r="BU24" s="378"/>
      <c r="BV24" s="378"/>
      <c r="BW24" s="378"/>
    </row>
    <row r="25" spans="1:75" s="13" customFormat="1">
      <c r="A25" s="115"/>
      <c r="B25" s="107" t="str">
        <f>'ITAR_K Gesamtansicht'!B25</f>
        <v xml:space="preserve">./. Subsidiärer Abzug: Kosten für universitäre Lehre + Forschung </v>
      </c>
      <c r="C25" s="14">
        <f>+'ITAR_K Gesamtansicht'!C25</f>
        <v>0</v>
      </c>
      <c r="D25" s="15">
        <f>+'ITAR_K Gesamtansicht'!D25</f>
        <v>0</v>
      </c>
      <c r="E25" s="15">
        <f>+'ITAR_K Gesamtansicht'!E25</f>
        <v>0</v>
      </c>
      <c r="F25" s="369"/>
      <c r="G25" s="369">
        <f>'ITAR_K Gesamtansicht'!G25</f>
        <v>0</v>
      </c>
      <c r="H25" s="369"/>
      <c r="R25" s="368" t="e">
        <f>+'ITAR_K Gesamtansicht'!R25</f>
        <v>#DIV/0!</v>
      </c>
      <c r="AT25" s="368" t="e">
        <f>+'ITAR_K Gesamtansicht'!BF25</f>
        <v>#DIV/0!</v>
      </c>
      <c r="BG25" s="368" t="e">
        <f>+'ITAR_K Gesamtansicht'!BS25</f>
        <v>#DIV/0!</v>
      </c>
      <c r="BO25" s="367"/>
      <c r="BP25" s="367"/>
      <c r="BQ25" s="367"/>
      <c r="BR25" s="377"/>
      <c r="BS25" s="368" t="e">
        <f>+'ITAR_K Gesamtansicht'!CE25</f>
        <v>#DIV/0!</v>
      </c>
      <c r="BT25" s="372"/>
      <c r="BU25" s="373"/>
      <c r="BV25" s="367"/>
      <c r="BW25" s="249"/>
    </row>
    <row r="26" spans="1:75" s="13" customFormat="1">
      <c r="A26" s="115"/>
      <c r="B26" s="107" t="str">
        <f>'ITAR_K Gesamtansicht'!B26</f>
        <v>./. Subsidiärer Abzug: Kosten für gemeinwirtschaftliche Leistungen</v>
      </c>
      <c r="C26" s="14">
        <f>+'ITAR_K Gesamtansicht'!C26</f>
        <v>0</v>
      </c>
      <c r="D26" s="15">
        <f>+'ITAR_K Gesamtansicht'!D26</f>
        <v>0</v>
      </c>
      <c r="E26" s="15" t="e">
        <f>+'ITAR_K Gesamtansicht'!E26</f>
        <v>#DIV/0!</v>
      </c>
      <c r="F26" s="369"/>
      <c r="G26" s="369">
        <f>'ITAR_K Gesamtansicht'!G26</f>
        <v>0</v>
      </c>
      <c r="H26" s="369"/>
      <c r="R26" s="368" t="e">
        <f>+'ITAR_K Gesamtansicht'!R26</f>
        <v>#DIV/0!</v>
      </c>
      <c r="AT26" s="368" t="e">
        <f>+'ITAR_K Gesamtansicht'!BF26</f>
        <v>#DIV/0!</v>
      </c>
      <c r="BG26" s="368" t="e">
        <f>+'ITAR_K Gesamtansicht'!BS26</f>
        <v>#DIV/0!</v>
      </c>
      <c r="BO26" s="367"/>
      <c r="BP26" s="367"/>
      <c r="BQ26" s="367"/>
      <c r="BR26" s="377"/>
      <c r="BS26" s="368" t="e">
        <f>+'ITAR_K Gesamtansicht'!CE26</f>
        <v>#DIV/0!</v>
      </c>
      <c r="BT26" s="372"/>
      <c r="BU26" s="373"/>
      <c r="BV26" s="367"/>
      <c r="BW26" s="249"/>
    </row>
    <row r="27" spans="1:75" s="2" customFormat="1">
      <c r="A27" s="116"/>
      <c r="B27" s="106" t="str">
        <f>'ITAR_K Gesamtansicht'!B27</f>
        <v>NBK II</v>
      </c>
      <c r="C27" s="3"/>
      <c r="D27" s="4"/>
      <c r="E27" s="4"/>
      <c r="F27" s="378"/>
      <c r="G27" s="378">
        <f>'ITAR_K Gesamtansicht'!G27</f>
        <v>0</v>
      </c>
      <c r="H27" s="378"/>
      <c r="R27" s="378" t="e">
        <f>+'ITAR_K Gesamtansicht'!R27</f>
        <v>#DIV/0!</v>
      </c>
      <c r="AT27" s="378" t="e">
        <f>+'ITAR_K Gesamtansicht'!BF27</f>
        <v>#DIV/0!</v>
      </c>
      <c r="BG27" s="378" t="e">
        <f>+'ITAR_K Gesamtansicht'!BS27</f>
        <v>#DIV/0!</v>
      </c>
      <c r="BO27" s="378"/>
      <c r="BP27" s="378"/>
      <c r="BQ27" s="378"/>
      <c r="BR27" s="378"/>
      <c r="BS27" s="378" t="e">
        <f>+'ITAR_K Gesamtansicht'!CE27</f>
        <v>#DIV/0!</v>
      </c>
      <c r="BT27" s="378"/>
      <c r="BU27" s="378"/>
      <c r="BV27" s="378"/>
      <c r="BW27" s="378"/>
    </row>
    <row r="28" spans="1:75" s="23" customFormat="1">
      <c r="A28" s="112"/>
      <c r="B28" s="107" t="str">
        <f>'ITAR_K Gesamtansicht'!B28</f>
        <v>./. Abzug für Mehrkosten aus Leistungen für zusatzversicherte Patienten</v>
      </c>
      <c r="C28" s="26"/>
      <c r="D28" s="27"/>
      <c r="E28" s="27"/>
      <c r="F28" s="369"/>
      <c r="G28" s="369">
        <f>'ITAR_K Gesamtansicht'!G28</f>
        <v>0</v>
      </c>
      <c r="H28" s="369"/>
      <c r="R28" s="368">
        <f>+'ITAR_K Gesamtansicht'!R28</f>
        <v>0</v>
      </c>
      <c r="AT28" s="368">
        <f>+'ITAR_K Gesamtansicht'!BF28</f>
        <v>0</v>
      </c>
      <c r="BG28" s="368">
        <f>+'ITAR_K Gesamtansicht'!BS28</f>
        <v>0</v>
      </c>
      <c r="BO28" s="369"/>
      <c r="BP28" s="369"/>
      <c r="BQ28" s="369"/>
      <c r="BR28" s="791"/>
      <c r="BS28" s="368">
        <f>+'ITAR_K Gesamtansicht'!CE28</f>
        <v>0</v>
      </c>
      <c r="BT28" s="374"/>
      <c r="BU28" s="369"/>
      <c r="BV28" s="369"/>
      <c r="BW28" s="249"/>
    </row>
    <row r="29" spans="1:75">
      <c r="A29" s="110"/>
      <c r="B29" s="107" t="str">
        <f>'ITAR_K Gesamtansicht'!B29</f>
        <v>./. Abzüge für unbewertete DRG und Zusatzentgelte SwissDRG (bewertete und unbewertete)</v>
      </c>
      <c r="C29" s="12"/>
      <c r="D29" s="11"/>
      <c r="E29" s="27"/>
      <c r="F29" s="369"/>
      <c r="G29" s="369">
        <f>'ITAR_K Gesamtansicht'!G29</f>
        <v>0</v>
      </c>
      <c r="H29" s="369"/>
      <c r="R29" s="368">
        <f>+'ITAR_K Gesamtansicht'!R29</f>
        <v>0</v>
      </c>
      <c r="AT29" s="368">
        <f>+'ITAR_K Gesamtansicht'!BF29</f>
        <v>0</v>
      </c>
      <c r="BG29" s="368">
        <f>+'ITAR_K Gesamtansicht'!BS29</f>
        <v>0</v>
      </c>
      <c r="BO29" s="369"/>
      <c r="BP29" s="369"/>
      <c r="BQ29" s="369"/>
      <c r="BR29" s="791"/>
      <c r="BS29" s="368">
        <f>+'ITAR_K Gesamtansicht'!CE29</f>
        <v>0</v>
      </c>
      <c r="BT29" s="374"/>
      <c r="BU29" s="369"/>
      <c r="BV29" s="369"/>
      <c r="BW29" s="249"/>
    </row>
    <row r="30" spans="1:75">
      <c r="A30" s="110"/>
      <c r="B30" s="107" t="str">
        <f>'ITAR_K Gesamtansicht'!B30</f>
        <v>+ Aufrechnung Beiträge des Kantons sofern kostenmindernd gebucht</v>
      </c>
      <c r="C30" s="107">
        <f>'ITAR_K Gesamtansicht'!C30</f>
        <v>0</v>
      </c>
      <c r="D30" s="11"/>
      <c r="E30" s="27"/>
      <c r="F30" s="369"/>
      <c r="G30" s="369">
        <f>'ITAR_K Gesamtansicht'!G30</f>
        <v>0</v>
      </c>
      <c r="H30" s="369"/>
      <c r="R30" s="368" t="e">
        <f>+'ITAR_K Gesamtansicht'!R30</f>
        <v>#DIV/0!</v>
      </c>
      <c r="AT30" s="368" t="e">
        <f>+'ITAR_K Gesamtansicht'!BF30</f>
        <v>#DIV/0!</v>
      </c>
      <c r="BG30" s="368" t="e">
        <f>+'ITAR_K Gesamtansicht'!BS30</f>
        <v>#DIV/0!</v>
      </c>
      <c r="BO30" s="369"/>
      <c r="BP30" s="369"/>
      <c r="BQ30" s="369"/>
      <c r="BR30" s="791"/>
      <c r="BS30" s="368" t="e">
        <f>+'ITAR_K Gesamtansicht'!CE30</f>
        <v>#DIV/0!</v>
      </c>
      <c r="BT30" s="374"/>
      <c r="BU30" s="369"/>
      <c r="BV30" s="369"/>
      <c r="BW30" s="249"/>
    </row>
    <row r="31" spans="1:75" s="28" customFormat="1">
      <c r="A31" s="113"/>
      <c r="B31" s="108" t="str">
        <f>'ITAR_K Gesamtansicht'!B31</f>
        <v>+ nicht sep. tarifierte Kosten, Anteil je Tarif</v>
      </c>
      <c r="C31" s="26"/>
      <c r="D31" s="27"/>
      <c r="E31" s="27"/>
      <c r="F31" s="367"/>
      <c r="G31" s="367">
        <f>'ITAR_K Gesamtansicht'!G31</f>
        <v>0</v>
      </c>
      <c r="H31" s="367"/>
      <c r="R31" s="367">
        <f>+'ITAR_K Gesamtansicht'!R31</f>
        <v>0</v>
      </c>
      <c r="AT31" s="367">
        <f>+'ITAR_K Gesamtansicht'!BF31</f>
        <v>0</v>
      </c>
      <c r="BG31" s="368">
        <f>+'ITAR_K Gesamtansicht'!BS31</f>
        <v>0</v>
      </c>
      <c r="BO31" s="367"/>
      <c r="BP31" s="367"/>
      <c r="BQ31" s="367"/>
      <c r="BR31" s="367"/>
      <c r="BS31" s="367">
        <f>+'ITAR_K Gesamtansicht'!CE31</f>
        <v>0</v>
      </c>
      <c r="BT31" s="251"/>
      <c r="BU31" s="367"/>
      <c r="BV31" s="367"/>
      <c r="BW31" s="249"/>
    </row>
    <row r="32" spans="1:75" s="102" customFormat="1">
      <c r="A32" s="111"/>
      <c r="B32" s="107" t="str">
        <f>'ITAR_K Gesamtansicht'!B32</f>
        <v>Verteilung der kum. Abzüge auf die amb. Tarife</v>
      </c>
      <c r="C32" s="103"/>
      <c r="D32" s="104"/>
      <c r="E32" s="104"/>
      <c r="F32" s="369"/>
      <c r="G32" s="369">
        <f>'ITAR_K Gesamtansicht'!G32</f>
        <v>0</v>
      </c>
      <c r="H32" s="369"/>
      <c r="R32" s="367">
        <f>+'ITAR_K Gesamtansicht'!R32</f>
        <v>0</v>
      </c>
      <c r="AT32" s="367">
        <f>+'ITAR_K Gesamtansicht'!BF32</f>
        <v>0</v>
      </c>
      <c r="BG32" s="367">
        <f>+'ITAR_K Gesamtansicht'!BS32</f>
        <v>0</v>
      </c>
      <c r="BO32" s="399"/>
      <c r="BP32" s="399"/>
      <c r="BQ32" s="399"/>
      <c r="BR32" s="399"/>
      <c r="BS32" s="367">
        <f>+'ITAR_K Gesamtansicht'!CE32</f>
        <v>0</v>
      </c>
      <c r="BT32" s="376"/>
      <c r="BU32" s="399"/>
      <c r="BV32" s="399"/>
      <c r="BW32" s="249"/>
    </row>
    <row r="33" spans="1:76" s="102" customFormat="1">
      <c r="A33" s="111"/>
      <c r="B33" s="107" t="str">
        <f>'ITAR_K Gesamtansicht'!B33</f>
        <v>Abzug der UV-Zinsen, sofern nicht nach Methode PUE</v>
      </c>
      <c r="C33" s="103"/>
      <c r="D33" s="104"/>
      <c r="E33" s="104"/>
      <c r="F33" s="369"/>
      <c r="G33" s="369">
        <f>'ITAR_K Gesamtansicht'!G33</f>
        <v>0</v>
      </c>
      <c r="H33" s="369"/>
      <c r="R33" s="377" t="e">
        <f>+'ITAR_K Gesamtansicht'!R33</f>
        <v>#DIV/0!</v>
      </c>
      <c r="AT33" s="377" t="e">
        <f>+'ITAR_K Gesamtansicht'!BF33</f>
        <v>#DIV/0!</v>
      </c>
      <c r="BG33" s="377" t="e">
        <f>+'ITAR_K Gesamtansicht'!BS33</f>
        <v>#DIV/0!</v>
      </c>
      <c r="BO33" s="367"/>
      <c r="BP33" s="367"/>
      <c r="BQ33" s="367"/>
      <c r="BR33" s="377"/>
      <c r="BS33" s="377" t="e">
        <f>+'ITAR_K Gesamtansicht'!CE33</f>
        <v>#DIV/0!</v>
      </c>
      <c r="BT33" s="251"/>
      <c r="BU33" s="367"/>
      <c r="BV33" s="367"/>
      <c r="BW33" s="249"/>
    </row>
    <row r="34" spans="1:76" s="29" customFormat="1">
      <c r="A34" s="114"/>
      <c r="B34" s="107" t="str">
        <f>'ITAR_K Gesamtansicht'!B34</f>
        <v>Zuschlag für nicht berücksichtigte Zinsen auf dem Umlaufvermögen</v>
      </c>
      <c r="C34" s="103"/>
      <c r="D34" s="104"/>
      <c r="E34" s="104"/>
      <c r="F34" s="369"/>
      <c r="G34" s="369">
        <f>'ITAR_K Gesamtansicht'!G34</f>
        <v>0</v>
      </c>
      <c r="H34" s="369"/>
      <c r="R34" s="368" t="e">
        <f>+'ITAR_K Gesamtansicht'!R34</f>
        <v>#DIV/0!</v>
      </c>
      <c r="AT34" s="368" t="e">
        <f>+'ITAR_K Gesamtansicht'!BF34</f>
        <v>#DIV/0!</v>
      </c>
      <c r="BG34" s="368" t="e">
        <f>+'ITAR_K Gesamtansicht'!BS34</f>
        <v>#DIV/0!</v>
      </c>
      <c r="BO34" s="367"/>
      <c r="BP34" s="367"/>
      <c r="BQ34" s="367"/>
      <c r="BR34" s="377"/>
      <c r="BS34" s="368" t="e">
        <f>+'ITAR_K Gesamtansicht'!CE34</f>
        <v>#DIV/0!</v>
      </c>
      <c r="BT34" s="367"/>
      <c r="BU34" s="367"/>
      <c r="BV34" s="367"/>
      <c r="BW34" s="249"/>
    </row>
    <row r="35" spans="1:76">
      <c r="A35" s="110"/>
      <c r="B35" s="106" t="str">
        <f>'ITAR_K Gesamtansicht'!B35</f>
        <v>Benchmarking-relevante Betriebskosten (BRB)</v>
      </c>
      <c r="C35" s="3"/>
      <c r="D35" s="4"/>
      <c r="E35" s="4"/>
      <c r="F35" s="378"/>
      <c r="G35" s="378">
        <f>'ITAR_K Gesamtansicht'!G35</f>
        <v>0</v>
      </c>
      <c r="H35" s="378"/>
      <c r="R35" s="378" t="e">
        <f>+'ITAR_K Gesamtansicht'!R35</f>
        <v>#DIV/0!</v>
      </c>
      <c r="AT35" s="378" t="e">
        <f>+'ITAR_K Gesamtansicht'!BF35</f>
        <v>#DIV/0!</v>
      </c>
      <c r="BG35" s="378" t="e">
        <f>+'ITAR_K Gesamtansicht'!BS35</f>
        <v>#DIV/0!</v>
      </c>
      <c r="BO35" s="378"/>
      <c r="BP35" s="378"/>
      <c r="BQ35" s="378"/>
      <c r="BR35" s="378"/>
      <c r="BS35" s="378" t="e">
        <f>+'ITAR_K Gesamtansicht'!CE35</f>
        <v>#DIV/0!</v>
      </c>
      <c r="BT35" s="378"/>
      <c r="BU35" s="378"/>
      <c r="BV35" s="378"/>
      <c r="BW35" s="378"/>
    </row>
    <row r="36" spans="1:76">
      <c r="A36" s="16"/>
      <c r="B36" s="94" t="str">
        <f>'ITAR_K Gesamtansicht'!B36</f>
        <v>Anzahl Leistungseinheiten (Case Mix, Pflegetage, fakt. Taxpunkte, Ertrag, etc.)</v>
      </c>
      <c r="C36" s="12"/>
      <c r="D36" s="11"/>
      <c r="E36" s="11"/>
      <c r="F36" s="379"/>
      <c r="G36" s="379"/>
      <c r="H36" s="379"/>
      <c r="R36" s="368">
        <f>+'ITAR_K Gesamtansicht'!R36</f>
        <v>0</v>
      </c>
      <c r="AT36" s="368">
        <f>+'ITAR_K Gesamtansicht'!BF36</f>
        <v>0</v>
      </c>
      <c r="BG36" s="368">
        <f>+'ITAR_K Gesamtansicht'!BS36</f>
        <v>0</v>
      </c>
      <c r="BO36" s="368"/>
      <c r="BP36" s="368"/>
      <c r="BQ36" s="368"/>
      <c r="BR36" s="368"/>
      <c r="BS36" s="368">
        <f>+'ITAR_K Gesamtansicht'!CE36</f>
        <v>0</v>
      </c>
      <c r="BT36" s="380"/>
      <c r="BU36" s="381"/>
      <c r="BV36" s="572"/>
      <c r="BW36" s="572"/>
    </row>
    <row r="37" spans="1:76">
      <c r="A37" s="16"/>
      <c r="B37" s="221" t="str">
        <f>'ITAR_K Gesamtansicht'!B37</f>
        <v>Anzahl Fälle (exkl. unbewertete DRG-Fälle)</v>
      </c>
      <c r="C37" s="220"/>
      <c r="D37" s="206"/>
      <c r="E37" s="207"/>
      <c r="F37" s="383"/>
      <c r="G37" s="383"/>
      <c r="H37" s="383"/>
      <c r="R37" s="369">
        <f>+'ITAR_K Gesamtansicht'!R37</f>
        <v>0</v>
      </c>
      <c r="AT37" s="369">
        <f>+'ITAR_K Gesamtansicht'!BF37</f>
        <v>0</v>
      </c>
      <c r="BG37" s="369">
        <f>+'ITAR_K Gesamtansicht'!BS37</f>
        <v>0</v>
      </c>
      <c r="BO37" s="369"/>
      <c r="BP37" s="369"/>
      <c r="BQ37" s="369"/>
      <c r="BR37" s="369"/>
      <c r="BS37" s="369">
        <f>+'ITAR_K Gesamtansicht'!CE37</f>
        <v>0</v>
      </c>
      <c r="BT37" s="384"/>
      <c r="BU37" s="384"/>
      <c r="BV37" s="384"/>
      <c r="BW37" s="384"/>
    </row>
    <row r="38" spans="1:76">
      <c r="A38" s="16"/>
      <c r="B38" s="221" t="str">
        <f>'ITAR_K Gesamtansicht'!B38</f>
        <v>Case Mix Index (bzw. durchschnittliche Verweildauer, wenn LE = Tag)</v>
      </c>
      <c r="C38" s="220"/>
      <c r="D38" s="206"/>
      <c r="E38" s="207"/>
      <c r="F38" s="383"/>
      <c r="G38" s="383"/>
      <c r="H38" s="383"/>
      <c r="R38" s="385" t="e">
        <f>+'ITAR_K Gesamtansicht'!R38</f>
        <v>#DIV/0!</v>
      </c>
      <c r="AT38" s="385" t="e">
        <f>+'ITAR_K Gesamtansicht'!BF38</f>
        <v>#DIV/0!</v>
      </c>
      <c r="BG38" s="385" t="e">
        <f>+'ITAR_K Gesamtansicht'!BS38</f>
        <v>#DIV/0!</v>
      </c>
      <c r="BO38" s="386"/>
      <c r="BP38" s="386"/>
      <c r="BQ38" s="386"/>
      <c r="BR38" s="386"/>
      <c r="BS38" s="385" t="e">
        <f>+'ITAR_K Gesamtansicht'!CE38</f>
        <v>#DIV/0!</v>
      </c>
      <c r="BT38" s="384"/>
      <c r="BU38" s="384"/>
      <c r="BV38" s="384"/>
      <c r="BW38" s="384"/>
      <c r="BX38" s="384"/>
    </row>
    <row r="39" spans="1:76">
      <c r="A39" s="176"/>
      <c r="B39" s="107" t="str">
        <f>'ITAR_K Gesamtansicht'!B39</f>
        <v>Basiswert (Bezug: Fall, Tag,...) pro Tarifwerk</v>
      </c>
      <c r="C39" s="103"/>
      <c r="D39" s="104"/>
      <c r="E39" s="104"/>
      <c r="F39" s="369"/>
      <c r="G39" s="369"/>
      <c r="H39" s="369"/>
      <c r="R39" s="367" t="e">
        <f>+'ITAR_K Gesamtansicht'!R39</f>
        <v>#DIV/0!</v>
      </c>
      <c r="AT39" s="367" t="e">
        <f>+'ITAR_K Gesamtansicht'!BF39</f>
        <v>#DIV/0!</v>
      </c>
      <c r="BG39" s="367" t="e">
        <f>+'ITAR_K Gesamtansicht'!BS39</f>
        <v>#DIV/0!</v>
      </c>
      <c r="BO39" s="369"/>
      <c r="BP39" s="369"/>
      <c r="BQ39" s="369"/>
      <c r="BR39" s="369"/>
      <c r="BS39" s="367" t="e">
        <f>+'ITAR_K Gesamtansicht'!CE39</f>
        <v>#DIV/0!</v>
      </c>
      <c r="BT39" s="387"/>
      <c r="BU39" s="581"/>
      <c r="BV39" s="581"/>
      <c r="BW39" s="581"/>
      <c r="BX39" s="581"/>
    </row>
    <row r="40" spans="1:76" s="2" customFormat="1" ht="13.5" customHeight="1" thickBot="1">
      <c r="B40" s="106" t="str">
        <f>'ITAR_K Gesamtansicht'!B40</f>
        <v>Benchmarking-relevanter Basiswert (Bezug: Fall, Tag,...)  (Zusammenzug)</v>
      </c>
      <c r="C40" s="5"/>
      <c r="D40" s="6"/>
      <c r="E40" s="6"/>
      <c r="F40" s="389"/>
      <c r="G40" s="390"/>
      <c r="H40" s="981"/>
      <c r="R40" s="366" t="e">
        <f>+R35/R36</f>
        <v>#DIV/0!</v>
      </c>
      <c r="AT40" s="366" t="e">
        <f>+AT35/AT36</f>
        <v>#DIV/0!</v>
      </c>
      <c r="BG40" s="366" t="e">
        <f>+BG35/BG36</f>
        <v>#DIV/0!</v>
      </c>
      <c r="BO40" s="366"/>
      <c r="BP40" s="366"/>
      <c r="BQ40" s="366"/>
      <c r="BR40" s="366"/>
      <c r="BS40" s="366" t="e">
        <f>+BS35/BS36</f>
        <v>#DIV/0!</v>
      </c>
      <c r="BT40" s="394"/>
      <c r="BU40" s="395"/>
      <c r="BV40" s="395"/>
      <c r="BW40" s="395"/>
      <c r="BX40" s="395"/>
    </row>
    <row r="41" spans="1:76" s="2" customFormat="1" ht="54.75" customHeight="1" thickBot="1">
      <c r="A41" s="839"/>
      <c r="B41" s="169"/>
      <c r="C41" s="170"/>
      <c r="D41" s="171"/>
      <c r="E41" s="171"/>
      <c r="F41" s="390"/>
      <c r="G41" s="390"/>
      <c r="H41" s="390"/>
      <c r="R41" s="562" t="str">
        <f>'ITAR_K Gesamtansicht'!R49</f>
        <v>Total akut
stationär, SwissDRG relevant</v>
      </c>
      <c r="AT41" s="396" t="str">
        <f>'ITAR_K Gesamtansicht'!BF49</f>
        <v>Total Rehabilitation stationär</v>
      </c>
      <c r="BG41" s="396" t="str">
        <f>'ITAR_K Gesamtansicht'!BS49</f>
        <v>Total 
Psychiatrie stationär</v>
      </c>
      <c r="BO41" s="396"/>
      <c r="BP41" s="396"/>
      <c r="BQ41" s="396"/>
      <c r="BR41" s="396"/>
      <c r="BS41" s="396" t="str">
        <f>'ITAR_K Gesamtansicht'!CE49</f>
        <v>Total 
Tageskliniken Psychiatrie</v>
      </c>
      <c r="BT41" s="394"/>
      <c r="BU41" s="395"/>
      <c r="BV41" s="395"/>
      <c r="BW41" s="395"/>
      <c r="BX41" s="136"/>
    </row>
    <row r="42" spans="1:76" s="2" customFormat="1">
      <c r="A42" s="1362" t="str">
        <f>'ITAR_K Gesamtansicht'!A50</f>
        <v>Berechnungen je Leistungseinheit</v>
      </c>
      <c r="B42" s="172" t="str">
        <f>'ITAR_K Gesamtansicht'!B50</f>
        <v>DRG: Basisfallwert nach Benchmarking / Übrige: Kosten je Leistungseinheit</v>
      </c>
      <c r="C42" s="5"/>
      <c r="D42" s="6"/>
      <c r="E42" s="6"/>
      <c r="F42" s="397"/>
      <c r="G42" s="390"/>
      <c r="H42" s="390"/>
      <c r="R42" s="398">
        <f>'ITAR_K Gesamtansicht'!R50</f>
        <v>0</v>
      </c>
      <c r="AT42" s="398" t="e">
        <f>'ITAR_K Gesamtansicht'!BF50</f>
        <v>#DIV/0!</v>
      </c>
      <c r="BG42" s="398" t="e">
        <f>'ITAR_K Gesamtansicht'!BS50</f>
        <v>#DIV/0!</v>
      </c>
      <c r="BO42" s="398"/>
      <c r="BP42" s="398"/>
      <c r="BQ42" s="398"/>
      <c r="BR42" s="398"/>
      <c r="BS42" s="398" t="e">
        <f>'ITAR_K Gesamtansicht'!CE50</f>
        <v>#DIV/0!</v>
      </c>
      <c r="BT42" s="394"/>
      <c r="BU42" s="395"/>
      <c r="BV42" s="395"/>
      <c r="BW42" s="395"/>
      <c r="BX42" s="136"/>
    </row>
    <row r="43" spans="1:76" s="29" customFormat="1">
      <c r="A43" s="1363"/>
      <c r="B43" s="173" t="str">
        <f>'ITAR_K Gesamtansicht'!B51</f>
        <v>Ambulant: Kosten je Taxpunkt und Tarif, nach Abzügen/Aufrechnungen inkl. ANK REKOLE</v>
      </c>
      <c r="C43" s="5"/>
      <c r="D43" s="6"/>
      <c r="E43" s="6"/>
      <c r="F43" s="397"/>
      <c r="G43" s="390"/>
      <c r="H43" s="390"/>
      <c r="R43" s="398">
        <f>'ITAR_K Gesamtansicht'!R51</f>
        <v>0</v>
      </c>
      <c r="AT43" s="398">
        <f>'ITAR_K Gesamtansicht'!BF51</f>
        <v>0</v>
      </c>
      <c r="BG43" s="398">
        <f>'ITAR_K Gesamtansicht'!BS51</f>
        <v>0</v>
      </c>
      <c r="BO43" s="399"/>
      <c r="BP43" s="399"/>
      <c r="BQ43" s="399"/>
      <c r="BR43" s="398"/>
      <c r="BS43" s="398">
        <f>'ITAR_K Gesamtansicht'!CE51</f>
        <v>0</v>
      </c>
      <c r="BT43" s="394"/>
      <c r="BU43" s="395"/>
      <c r="BV43" s="395"/>
      <c r="BW43" s="395"/>
      <c r="BX43" s="136"/>
    </row>
    <row r="44" spans="1:76">
      <c r="A44" s="1363"/>
      <c r="B44" s="174" t="str">
        <f>'ITAR_K Gesamtansicht'!B52</f>
        <v>+ nationale Projektionsrechnung: Personal- und Sachteuerung auf 1 Jahr</v>
      </c>
      <c r="C44" s="12"/>
      <c r="D44" s="11"/>
      <c r="E44" s="11"/>
      <c r="F44" s="400"/>
      <c r="G44" s="401"/>
      <c r="H44" s="401"/>
      <c r="R44" s="403" t="e">
        <f>'ITAR_K Gesamtansicht'!R52</f>
        <v>#DIV/0!</v>
      </c>
      <c r="AT44" s="403" t="e">
        <f>'ITAR_K Gesamtansicht'!BF52</f>
        <v>#DIV/0!</v>
      </c>
      <c r="BG44" s="403" t="e">
        <f>'ITAR_K Gesamtansicht'!BS52</f>
        <v>#DIV/0!</v>
      </c>
      <c r="BO44" s="320"/>
      <c r="BP44" s="320"/>
      <c r="BQ44" s="320"/>
      <c r="BR44" s="320"/>
      <c r="BS44" s="403" t="e">
        <f>'ITAR_K Gesamtansicht'!CE52</f>
        <v>#DIV/0!</v>
      </c>
      <c r="BT44" s="405"/>
      <c r="BU44" s="767"/>
      <c r="BV44" s="767"/>
      <c r="BW44" s="997"/>
      <c r="BX44" s="25"/>
    </row>
    <row r="45" spans="1:76">
      <c r="A45" s="1363"/>
      <c r="B45" s="174" t="str">
        <f>'ITAR_K Gesamtansicht'!B53</f>
        <v>+/- spitalbezogene Projektionsrechnung</v>
      </c>
      <c r="C45" s="14"/>
      <c r="D45" s="11"/>
      <c r="E45" s="11"/>
      <c r="F45" s="400"/>
      <c r="G45" s="401"/>
      <c r="H45" s="401"/>
      <c r="R45" s="403">
        <f>'ITAR_K Gesamtansicht'!R53</f>
        <v>0</v>
      </c>
      <c r="AT45" s="403">
        <f>'ITAR_K Gesamtansicht'!BF53</f>
        <v>0</v>
      </c>
      <c r="BG45" s="403">
        <f>'ITAR_K Gesamtansicht'!BS53</f>
        <v>0</v>
      </c>
      <c r="BO45" s="320"/>
      <c r="BP45" s="320"/>
      <c r="BQ45" s="320"/>
      <c r="BR45" s="320"/>
      <c r="BS45" s="403">
        <f>'ITAR_K Gesamtansicht'!CE53</f>
        <v>0</v>
      </c>
      <c r="BT45" s="405"/>
      <c r="BU45" s="767"/>
      <c r="BV45" s="767"/>
      <c r="BW45" s="997"/>
      <c r="BX45" s="25"/>
    </row>
    <row r="46" spans="1:76">
      <c r="A46" s="1363"/>
      <c r="B46" s="174" t="str">
        <f>'ITAR_K Gesamtansicht'!B54</f>
        <v>+/- Zuschlag/Abschlag wegen neuen gesetzlichen Auflagen</v>
      </c>
      <c r="C46" s="14"/>
      <c r="D46" s="11"/>
      <c r="E46" s="11"/>
      <c r="F46" s="400"/>
      <c r="G46" s="401"/>
      <c r="H46" s="401"/>
      <c r="R46" s="403">
        <f>'ITAR_K Gesamtansicht'!R54</f>
        <v>0</v>
      </c>
      <c r="AT46" s="403">
        <f>'ITAR_K Gesamtansicht'!BF54</f>
        <v>0</v>
      </c>
      <c r="BG46" s="403">
        <f>'ITAR_K Gesamtansicht'!BS54</f>
        <v>0</v>
      </c>
      <c r="BO46" s="320"/>
      <c r="BP46" s="320"/>
      <c r="BQ46" s="320"/>
      <c r="BR46" s="320"/>
      <c r="BS46" s="403">
        <f>'ITAR_K Gesamtansicht'!CE54</f>
        <v>0</v>
      </c>
      <c r="BT46" s="405"/>
      <c r="BU46" s="767"/>
      <c r="BV46" s="767"/>
      <c r="BW46" s="997"/>
      <c r="BX46" s="25"/>
    </row>
    <row r="47" spans="1:76" s="2" customFormat="1">
      <c r="A47" s="1363"/>
      <c r="B47" s="172" t="str">
        <f>'ITAR_K Gesamtansicht'!B55</f>
        <v>Basisfallwert 2015 bzw. massgebende Kosten je Leist.einheit, exkl. ANK</v>
      </c>
      <c r="C47" s="5"/>
      <c r="D47" s="6"/>
      <c r="E47" s="6"/>
      <c r="F47" s="397"/>
      <c r="G47" s="390"/>
      <c r="H47" s="390"/>
      <c r="R47" s="407" t="e">
        <f>'ITAR_K Gesamtansicht'!R55</f>
        <v>#DIV/0!</v>
      </c>
      <c r="AT47" s="407" t="e">
        <f>'ITAR_K Gesamtansicht'!BF55</f>
        <v>#DIV/0!</v>
      </c>
      <c r="BG47" s="407" t="e">
        <f>'ITAR_K Gesamtansicht'!BS55</f>
        <v>#DIV/0!</v>
      </c>
      <c r="BO47" s="409"/>
      <c r="BP47" s="409"/>
      <c r="BQ47" s="409"/>
      <c r="BR47" s="409"/>
      <c r="BS47" s="407" t="e">
        <f>'ITAR_K Gesamtansicht'!CE55</f>
        <v>#DIV/0!</v>
      </c>
      <c r="BT47" s="411"/>
      <c r="BU47" s="768"/>
      <c r="BV47" s="768"/>
      <c r="BW47" s="998"/>
      <c r="BX47" s="136"/>
    </row>
    <row r="48" spans="1:76">
      <c r="A48" s="1363"/>
      <c r="B48" s="174" t="str">
        <f>'ITAR_K Gesamtansicht'!B56</f>
        <v>+Anteil Anlagenutzungskosten (ANK)</v>
      </c>
      <c r="C48" s="14"/>
      <c r="D48" s="15"/>
      <c r="E48" s="15"/>
      <c r="F48" s="414"/>
      <c r="G48" s="415"/>
      <c r="H48" s="415"/>
      <c r="R48" s="403" t="e">
        <f>'ITAR_K Gesamtansicht'!R56</f>
        <v>#DIV/0!</v>
      </c>
      <c r="AT48" s="403" t="e">
        <f>'ITAR_K Gesamtansicht'!BF56</f>
        <v>#DIV/0!</v>
      </c>
      <c r="BG48" s="403" t="e">
        <f>'ITAR_K Gesamtansicht'!BS56</f>
        <v>#DIV/0!</v>
      </c>
      <c r="BO48" s="320"/>
      <c r="BP48" s="320"/>
      <c r="BQ48" s="320"/>
      <c r="BR48" s="320"/>
      <c r="BS48" s="403" t="e">
        <f>'ITAR_K Gesamtansicht'!CE56</f>
        <v>#DIV/0!</v>
      </c>
      <c r="BT48" s="405"/>
      <c r="BU48" s="767"/>
      <c r="BV48" s="767"/>
      <c r="BW48" s="997"/>
      <c r="BX48" s="25"/>
    </row>
    <row r="49" spans="1:76" s="29" customFormat="1">
      <c r="A49" s="1363"/>
      <c r="B49" s="172" t="str">
        <f>'ITAR_K Gesamtansicht'!B57</f>
        <v>Basisfallwerte je cw 1.0 bzw. Kosten je Leistungseinheit gesamt</v>
      </c>
      <c r="C49" s="5"/>
      <c r="D49" s="6"/>
      <c r="E49" s="6"/>
      <c r="F49" s="397"/>
      <c r="G49" s="390"/>
      <c r="H49" s="390"/>
      <c r="R49" s="423" t="e">
        <f>'ITAR_K Gesamtansicht'!R57</f>
        <v>#DIV/0!</v>
      </c>
      <c r="AT49" s="423" t="e">
        <f>'ITAR_K Gesamtansicht'!BF57</f>
        <v>#DIV/0!</v>
      </c>
      <c r="BG49" s="423" t="e">
        <f>'ITAR_K Gesamtansicht'!BS57</f>
        <v>#DIV/0!</v>
      </c>
      <c r="BO49" s="424"/>
      <c r="BP49" s="424"/>
      <c r="BQ49" s="424"/>
      <c r="BR49" s="424"/>
      <c r="BS49" s="423" t="e">
        <f>'ITAR_K Gesamtansicht'!CE57</f>
        <v>#DIV/0!</v>
      </c>
      <c r="BT49" s="418"/>
      <c r="BU49" s="769"/>
      <c r="BV49" s="769"/>
      <c r="BW49" s="395"/>
      <c r="BX49" s="136"/>
    </row>
    <row r="50" spans="1:76">
      <c r="A50" s="1364"/>
      <c r="B50" s="175" t="str">
        <f>'ITAR_K Gesamtansicht'!B58</f>
        <v>Summe der amb. Korrekturen exkl. ANK</v>
      </c>
      <c r="C50" s="163"/>
      <c r="D50" s="16"/>
      <c r="E50" s="16"/>
      <c r="F50" s="425"/>
      <c r="G50" s="426"/>
      <c r="H50" s="426"/>
      <c r="R50" s="427"/>
      <c r="AT50" s="427"/>
      <c r="BG50" s="427"/>
      <c r="BO50" s="429"/>
      <c r="BP50" s="429"/>
      <c r="BQ50" s="429"/>
      <c r="BR50" s="429"/>
      <c r="BS50" s="427"/>
      <c r="BT50" s="422"/>
      <c r="BU50" s="770"/>
      <c r="BV50" s="769"/>
      <c r="BW50" s="466"/>
      <c r="BX50" s="25"/>
    </row>
    <row r="51" spans="1:76">
      <c r="A51" s="75"/>
      <c r="F51" s="431"/>
      <c r="G51" s="431"/>
      <c r="H51" s="431"/>
      <c r="R51" s="432"/>
      <c r="AT51" s="432"/>
      <c r="BG51" s="432"/>
      <c r="BO51" s="432"/>
      <c r="BP51" s="432"/>
      <c r="BQ51" s="432"/>
      <c r="BR51" s="432"/>
      <c r="BS51" s="432"/>
      <c r="BT51" s="432"/>
      <c r="BU51" s="466"/>
      <c r="BV51" s="466"/>
      <c r="BW51" s="466"/>
      <c r="BX51" s="25"/>
    </row>
    <row r="52" spans="1:76">
      <c r="F52" s="431"/>
      <c r="G52" s="431"/>
      <c r="H52" s="431"/>
      <c r="R52" s="432"/>
      <c r="AT52" s="432"/>
      <c r="BG52" s="432"/>
      <c r="BO52" s="432"/>
      <c r="BP52" s="432"/>
      <c r="BQ52" s="432"/>
      <c r="BR52" s="432"/>
      <c r="BS52" s="432"/>
      <c r="BT52" s="432"/>
      <c r="BU52" s="466"/>
      <c r="BV52" s="466"/>
      <c r="BW52" s="466"/>
      <c r="BX52" s="25"/>
    </row>
    <row r="53" spans="1:76">
      <c r="B53" s="2" t="str">
        <f>'ITAR_K Gesamtansicht'!B62</f>
        <v>Berechnungsparameter</v>
      </c>
      <c r="F53" s="431"/>
      <c r="G53" s="431"/>
      <c r="H53" s="431"/>
      <c r="R53" s="432"/>
      <c r="AT53" s="432"/>
      <c r="BG53" s="432"/>
      <c r="BO53" s="432"/>
      <c r="BP53" s="432"/>
      <c r="BQ53" s="432"/>
      <c r="BR53" s="432"/>
      <c r="BS53" s="432"/>
      <c r="BT53" s="432"/>
      <c r="BU53" s="466"/>
      <c r="BV53" s="466"/>
      <c r="BW53" s="466"/>
      <c r="BX53" s="25"/>
    </row>
    <row r="54" spans="1:76" s="147" customFormat="1">
      <c r="B54" s="259" t="str">
        <f>'ITAR_K Gesamtansicht'!B63</f>
        <v>allenfalls Abzug Beiträge universitäre Lehre und Forschung</v>
      </c>
      <c r="C54" s="254"/>
      <c r="D54" s="209"/>
      <c r="E54" s="255"/>
      <c r="F54" s="476"/>
      <c r="G54" s="476"/>
      <c r="H54" s="476"/>
      <c r="R54" s="437" t="e">
        <f>+'ITAR_K Gesamtansicht'!R63</f>
        <v>#DIV/0!</v>
      </c>
      <c r="AT54" s="437" t="e">
        <f>+'ITAR_K Gesamtansicht'!BF63</f>
        <v>#DIV/0!</v>
      </c>
      <c r="BG54" s="437" t="e">
        <f>+'ITAR_K Gesamtansicht'!BS63</f>
        <v>#DIV/0!</v>
      </c>
      <c r="BO54" s="437"/>
      <c r="BP54" s="437"/>
      <c r="BQ54" s="437"/>
      <c r="BR54" s="437"/>
      <c r="BS54" s="437" t="e">
        <f>+'ITAR_K Gesamtansicht'!CE63</f>
        <v>#DIV/0!</v>
      </c>
      <c r="BT54" s="438"/>
      <c r="BU54" s="466"/>
      <c r="BV54" s="999"/>
      <c r="BW54" s="999"/>
      <c r="BX54" s="135"/>
    </row>
    <row r="55" spans="1:76" s="147" customFormat="1">
      <c r="B55" s="259" t="str">
        <f>'ITAR_K Gesamtansicht'!B64</f>
        <v>Sind die UV-Zinsen in der Kostenrechnung nach Methode PUE ermittelt</v>
      </c>
      <c r="C55" s="254"/>
      <c r="D55" s="209"/>
      <c r="E55" s="256">
        <f>+'ITAR_K Gesamtansicht'!E64</f>
        <v>0</v>
      </c>
      <c r="F55" s="440"/>
      <c r="G55" s="440"/>
      <c r="H55" s="440"/>
      <c r="R55" s="442"/>
      <c r="AT55" s="442"/>
      <c r="BG55" s="442"/>
      <c r="BO55" s="441"/>
      <c r="BP55" s="441"/>
      <c r="BQ55" s="443"/>
      <c r="BR55" s="443"/>
      <c r="BS55" s="442"/>
      <c r="BT55" s="434"/>
      <c r="BU55" s="466"/>
      <c r="BV55" s="1000"/>
      <c r="BW55" s="466"/>
      <c r="BX55" s="135"/>
    </row>
    <row r="56" spans="1:76" s="147" customFormat="1">
      <c r="B56" s="260" t="str">
        <f>'ITAR_K Gesamtansicht'!B65</f>
        <v>Allenfalls normativer Zuschlag für kalkulatorische Zinsen auf Umlaufvermögen gemäss Methode PUE</v>
      </c>
      <c r="C56" s="167"/>
      <c r="D56" s="168"/>
      <c r="E56" s="263">
        <f>+'ITAR_K Gesamtansicht'!E65</f>
        <v>8.0000000000000004E-4</v>
      </c>
      <c r="F56" s="444"/>
      <c r="G56" s="444"/>
      <c r="H56" s="444"/>
      <c r="R56" s="446">
        <f>'ITAR_K Gesamtansicht'!R65</f>
        <v>0</v>
      </c>
      <c r="AT56" s="446">
        <f>+'ITAR_K Gesamtansicht'!BF65</f>
        <v>0</v>
      </c>
      <c r="BG56" s="446">
        <f>+'ITAR_K Gesamtansicht'!BS65</f>
        <v>0</v>
      </c>
      <c r="BO56" s="445"/>
      <c r="BP56" s="445"/>
      <c r="BQ56" s="447"/>
      <c r="BR56" s="793"/>
      <c r="BS56" s="446">
        <f>+'ITAR_K Gesamtansicht'!CE65</f>
        <v>8.0000000000000004E-4</v>
      </c>
      <c r="BT56" s="434"/>
      <c r="BU56" s="466"/>
      <c r="BV56" s="1001"/>
      <c r="BW56" s="1001"/>
      <c r="BX56" s="135"/>
    </row>
    <row r="57" spans="1:76" s="147" customFormat="1">
      <c r="B57" s="260" t="str">
        <f>'ITAR_K Gesamtansicht'!B66</f>
        <v>Grundversicherungsanteil an Zusatzversicherungshonoraren</v>
      </c>
      <c r="C57" s="167"/>
      <c r="D57" s="168"/>
      <c r="E57" s="264"/>
      <c r="F57" s="444"/>
      <c r="G57" s="444"/>
      <c r="H57" s="444"/>
      <c r="R57" s="444"/>
      <c r="AT57" s="444"/>
      <c r="BG57" s="444"/>
      <c r="BO57" s="432"/>
      <c r="BP57" s="432"/>
      <c r="BQ57" s="432"/>
      <c r="BR57" s="432"/>
      <c r="BS57" s="432"/>
      <c r="BT57" s="432"/>
      <c r="BU57" s="466"/>
      <c r="BV57" s="466"/>
      <c r="BW57" s="466"/>
      <c r="BX57" s="135"/>
    </row>
    <row r="58" spans="1:76">
      <c r="B58" s="259" t="str">
        <f>'ITAR_K Gesamtansicht'!B67</f>
        <v>Abschlagsatz für Mehrkosten aus Leistungen für Zusatzversicherte</v>
      </c>
      <c r="C58" s="161"/>
      <c r="D58" s="158">
        <f>+'ITAR_K Gesamtansicht'!D67</f>
        <v>0</v>
      </c>
      <c r="E58" s="258">
        <f>+'ITAR_K Gesamtansicht'!E67</f>
        <v>0</v>
      </c>
      <c r="F58" s="452"/>
      <c r="G58" s="452"/>
      <c r="H58" s="452"/>
      <c r="R58" s="452"/>
      <c r="AT58" s="452"/>
      <c r="BG58" s="452"/>
      <c r="BO58" s="384"/>
      <c r="BP58" s="384"/>
      <c r="BQ58" s="384"/>
      <c r="BR58" s="384"/>
      <c r="BS58" s="384"/>
      <c r="BT58" s="384"/>
      <c r="BU58" s="384"/>
      <c r="BV58" s="384"/>
      <c r="BW58" s="384"/>
      <c r="BX58" s="25"/>
    </row>
    <row r="59" spans="1:76" ht="25.5">
      <c r="B59" s="261" t="str">
        <f>'ITAR_K Gesamtansicht'!B68</f>
        <v>Nationale Projektionsrechnung :</v>
      </c>
      <c r="C59" s="265"/>
      <c r="D59" s="222" t="str">
        <f>+'ITAR_K Gesamtansicht'!D68</f>
        <v>Anteil auf Zeile 52</v>
      </c>
      <c r="E59" s="267" t="str">
        <f>+'ITAR_K Gesamtansicht'!E68</f>
        <v>Index-veränderung</v>
      </c>
      <c r="F59" s="426"/>
      <c r="G59" s="426"/>
      <c r="H59" s="426"/>
      <c r="R59" s="432"/>
      <c r="AT59" s="432"/>
      <c r="BG59" s="432"/>
      <c r="BO59" s="432"/>
      <c r="BP59" s="432"/>
      <c r="BQ59" s="432"/>
      <c r="BR59" s="432"/>
      <c r="BS59" s="432"/>
      <c r="BT59" s="432"/>
      <c r="BU59" s="466"/>
      <c r="BV59" s="466"/>
      <c r="BW59" s="466"/>
      <c r="BX59" s="25"/>
    </row>
    <row r="60" spans="1:76">
      <c r="B60" s="260" t="str">
        <f>'ITAR_K Gesamtansicht'!B69</f>
        <v>Teuerungszuschlag Personalkosten</v>
      </c>
      <c r="C60" s="266"/>
      <c r="D60" s="159" t="e">
        <f>+'ITAR_K Gesamtansicht'!D69</f>
        <v>#DIV/0!</v>
      </c>
      <c r="E60" s="238">
        <f>+'ITAR_K Gesamtansicht'!E69</f>
        <v>0</v>
      </c>
      <c r="F60" s="431"/>
      <c r="G60" s="431"/>
      <c r="H60" s="431"/>
      <c r="R60" s="433"/>
      <c r="AT60" s="433"/>
      <c r="BG60" s="433"/>
      <c r="BO60" s="432"/>
      <c r="BP60" s="432"/>
      <c r="BQ60" s="432"/>
      <c r="BR60" s="432"/>
      <c r="BS60" s="433"/>
      <c r="BT60" s="432"/>
      <c r="BU60" s="466"/>
      <c r="BV60" s="466"/>
      <c r="BW60" s="384"/>
      <c r="BX60" s="25"/>
    </row>
    <row r="61" spans="1:76">
      <c r="B61" s="259" t="str">
        <f>'ITAR_K Gesamtansicht'!B70</f>
        <v>Teuerungszuschlag Sachkosten</v>
      </c>
      <c r="C61" s="161"/>
      <c r="D61" s="159" t="e">
        <f>+'ITAR_K Gesamtansicht'!D70</f>
        <v>#DIV/0!</v>
      </c>
      <c r="E61" s="238">
        <f>+'ITAR_K Gesamtansicht'!E70</f>
        <v>0</v>
      </c>
      <c r="F61" s="452"/>
      <c r="G61" s="452"/>
      <c r="H61" s="452"/>
      <c r="R61" s="454" t="e">
        <f>+'ITAR_K Gesamtansicht'!R70</f>
        <v>#DIV/0!</v>
      </c>
      <c r="AT61" s="454" t="e">
        <f>+'ITAR_K Gesamtansicht'!BF70</f>
        <v>#DIV/0!</v>
      </c>
      <c r="BG61" s="454" t="e">
        <f>+'ITAR_K Gesamtansicht'!BS70</f>
        <v>#DIV/0!</v>
      </c>
      <c r="BO61" s="454"/>
      <c r="BP61" s="454"/>
      <c r="BQ61" s="455"/>
      <c r="BR61" s="455"/>
      <c r="BS61" s="454" t="e">
        <f>+'ITAR_K Gesamtansicht'!CE70</f>
        <v>#DIV/0!</v>
      </c>
      <c r="BT61" s="456"/>
      <c r="BU61" s="462"/>
      <c r="BV61" s="462"/>
      <c r="BW61" s="384"/>
      <c r="BX61" s="25"/>
    </row>
    <row r="62" spans="1:76">
      <c r="B62" s="259" t="str">
        <f>'ITAR_K Gesamtansicht'!B71</f>
        <v>Spitalbezogene Projektionsrechnung</v>
      </c>
      <c r="C62" s="161"/>
      <c r="D62" s="153"/>
      <c r="E62" s="216">
        <f>+'ITAR_K Gesamtansicht'!E71</f>
        <v>0</v>
      </c>
      <c r="F62" s="458"/>
      <c r="G62" s="458"/>
      <c r="H62" s="458"/>
      <c r="R62" s="459">
        <f>+'ITAR_K Gesamtansicht'!R71</f>
        <v>0</v>
      </c>
      <c r="AT62" s="459">
        <f>+'ITAR_K Gesamtansicht'!BF71</f>
        <v>0</v>
      </c>
      <c r="BG62" s="459">
        <f>+'ITAR_K Gesamtansicht'!BS71</f>
        <v>0</v>
      </c>
      <c r="BO62" s="459"/>
      <c r="BP62" s="459"/>
      <c r="BQ62" s="459"/>
      <c r="BR62" s="459"/>
      <c r="BS62" s="459">
        <f>+'ITAR_K Gesamtansicht'!CE71</f>
        <v>0</v>
      </c>
      <c r="BT62" s="460"/>
      <c r="BU62" s="731"/>
      <c r="BV62" s="731"/>
      <c r="BW62" s="415"/>
      <c r="BX62" s="25"/>
    </row>
    <row r="63" spans="1:76">
      <c r="B63" s="204" t="str">
        <f>'ITAR_K Gesamtansicht'!B72</f>
        <v>Zuschlag wegen neuen gesetzlichen Auflagen :</v>
      </c>
      <c r="C63" s="161"/>
      <c r="D63" s="153"/>
      <c r="E63" s="216">
        <f>+'ITAR_K Gesamtansicht'!E72</f>
        <v>0</v>
      </c>
      <c r="F63" s="458"/>
      <c r="G63" s="458"/>
      <c r="H63" s="458"/>
      <c r="R63" s="459">
        <f>+'ITAR_K Gesamtansicht'!R72</f>
        <v>0</v>
      </c>
      <c r="AT63" s="459">
        <f>+'ITAR_K Gesamtansicht'!BF72</f>
        <v>0</v>
      </c>
      <c r="BG63" s="459">
        <f>+'ITAR_K Gesamtansicht'!BS72</f>
        <v>0</v>
      </c>
      <c r="BO63" s="459"/>
      <c r="BP63" s="459"/>
      <c r="BQ63" s="459"/>
      <c r="BR63" s="459"/>
      <c r="BS63" s="459">
        <f>+'ITAR_K Gesamtansicht'!CE72</f>
        <v>0</v>
      </c>
      <c r="BT63" s="460"/>
      <c r="BU63" s="731"/>
      <c r="BV63" s="731"/>
      <c r="BW63" s="415"/>
      <c r="BX63" s="25"/>
    </row>
    <row r="64" spans="1:76">
      <c r="B64" s="204" t="str">
        <f>'ITAR_K Gesamtansicht'!B73</f>
        <v>Anteil Anlagenutzungskosten (in %)</v>
      </c>
      <c r="C64" s="161"/>
      <c r="D64" s="153"/>
      <c r="E64" s="239">
        <f>+'ITAR_K Gesamtansicht'!E73</f>
        <v>0.12</v>
      </c>
      <c r="F64" s="149"/>
      <c r="G64" s="149"/>
      <c r="H64" s="149"/>
      <c r="R64" s="155"/>
      <c r="AT64" s="462"/>
      <c r="BG64" s="462"/>
      <c r="BO64" s="462"/>
      <c r="BP64" s="462"/>
      <c r="BQ64" s="462"/>
      <c r="BR64" s="462"/>
      <c r="BS64" s="462"/>
      <c r="BT64" s="462"/>
      <c r="BU64" s="462"/>
      <c r="BV64" s="462"/>
      <c r="BW64" s="384"/>
      <c r="BX64" s="25"/>
    </row>
    <row r="65" spans="1:80">
      <c r="B65" s="22"/>
      <c r="AT65" s="432"/>
      <c r="BG65" s="432"/>
      <c r="BO65" s="432"/>
      <c r="BP65" s="432"/>
      <c r="BQ65" s="432"/>
      <c r="BR65" s="432"/>
      <c r="BS65" s="433"/>
      <c r="BT65" s="432"/>
      <c r="BU65" s="466"/>
      <c r="BV65" s="466"/>
      <c r="BW65" s="466"/>
      <c r="BX65" s="25"/>
    </row>
    <row r="66" spans="1:80">
      <c r="A66" s="25"/>
      <c r="B66" s="25"/>
      <c r="C66" s="25"/>
      <c r="D66" s="25"/>
      <c r="E66" s="25"/>
      <c r="F66" s="25"/>
      <c r="G66" s="25"/>
      <c r="H66" s="25"/>
      <c r="AT66" s="432"/>
      <c r="BG66" s="432"/>
      <c r="BO66" s="432"/>
      <c r="BP66" s="432"/>
      <c r="BQ66" s="432"/>
      <c r="BR66" s="432"/>
      <c r="BS66" s="432"/>
      <c r="BT66" s="432"/>
      <c r="BU66" s="466"/>
      <c r="BV66" s="466"/>
      <c r="BW66" s="466"/>
      <c r="BX66" s="135"/>
      <c r="BY66" s="147"/>
      <c r="BZ66" s="147"/>
      <c r="CA66" s="147"/>
      <c r="CB66" s="147"/>
    </row>
    <row r="67" spans="1:80">
      <c r="A67" s="25"/>
      <c r="B67" s="135"/>
      <c r="C67" s="25"/>
      <c r="D67" s="25"/>
      <c r="E67" s="25"/>
      <c r="F67" s="25"/>
      <c r="G67" s="25"/>
      <c r="H67" s="25"/>
      <c r="AT67" s="432"/>
      <c r="BG67" s="432"/>
      <c r="BO67" s="432"/>
      <c r="BP67" s="432"/>
      <c r="BQ67" s="432"/>
      <c r="BR67" s="432"/>
      <c r="BS67" s="432"/>
      <c r="BT67" s="432"/>
      <c r="BU67" s="466"/>
      <c r="BV67" s="466"/>
      <c r="BW67" s="466"/>
      <c r="BX67" s="25"/>
    </row>
    <row r="68" spans="1:80">
      <c r="A68" s="25"/>
      <c r="B68" s="136"/>
      <c r="C68" s="136"/>
      <c r="D68" s="136"/>
      <c r="E68" s="136"/>
      <c r="F68" s="136"/>
      <c r="G68" s="136"/>
      <c r="H68" s="136"/>
      <c r="AT68" s="432"/>
      <c r="BG68" s="432"/>
      <c r="BO68" s="432"/>
      <c r="BP68" s="432"/>
      <c r="BQ68" s="432"/>
      <c r="BR68" s="432"/>
      <c r="BS68" s="432"/>
      <c r="BT68" s="432"/>
      <c r="BU68" s="466"/>
      <c r="BV68" s="466"/>
      <c r="BW68" s="466"/>
      <c r="BX68" s="25"/>
    </row>
    <row r="69" spans="1:80">
      <c r="A69" s="25"/>
      <c r="B69" s="25"/>
      <c r="C69" s="25"/>
      <c r="D69" s="25"/>
      <c r="E69" s="25"/>
      <c r="F69" s="25"/>
      <c r="G69" s="25"/>
      <c r="H69" s="25"/>
      <c r="AT69" s="432"/>
      <c r="BG69" s="432"/>
      <c r="BO69" s="432"/>
      <c r="BP69" s="432"/>
      <c r="BQ69" s="432"/>
      <c r="BR69" s="432"/>
      <c r="BS69" s="432"/>
      <c r="BT69" s="432"/>
      <c r="BU69" s="432"/>
      <c r="BV69" s="432"/>
      <c r="BW69" s="432"/>
    </row>
    <row r="70" spans="1:80">
      <c r="A70" s="25"/>
      <c r="B70" s="25"/>
      <c r="C70" s="25"/>
      <c r="D70" s="25"/>
      <c r="E70" s="25"/>
      <c r="F70" s="25"/>
      <c r="G70" s="25"/>
      <c r="H70" s="25"/>
    </row>
    <row r="71" spans="1:80">
      <c r="A71" s="25"/>
      <c r="B71" s="25"/>
      <c r="C71" s="25"/>
      <c r="D71" s="25"/>
      <c r="E71" s="25"/>
      <c r="F71" s="25"/>
      <c r="G71" s="25"/>
      <c r="H71" s="25"/>
    </row>
    <row r="72" spans="1:80">
      <c r="A72" s="25"/>
      <c r="B72" s="136"/>
      <c r="C72" s="25"/>
      <c r="D72" s="25"/>
      <c r="E72" s="25"/>
      <c r="F72" s="25"/>
      <c r="G72" s="25"/>
      <c r="H72" s="25"/>
    </row>
    <row r="73" spans="1:80">
      <c r="A73" s="25"/>
      <c r="B73" s="135"/>
      <c r="C73" s="25"/>
      <c r="D73" s="25"/>
      <c r="E73" s="25"/>
      <c r="F73" s="25"/>
      <c r="G73" s="25"/>
      <c r="H73" s="25"/>
    </row>
    <row r="74" spans="1:80">
      <c r="A74" s="25"/>
      <c r="B74" s="25"/>
      <c r="C74" s="25"/>
      <c r="D74" s="25"/>
      <c r="E74" s="25"/>
      <c r="F74" s="25"/>
      <c r="G74" s="25"/>
      <c r="H74" s="25"/>
    </row>
    <row r="75" spans="1:80">
      <c r="A75" s="25"/>
      <c r="B75" s="25"/>
      <c r="C75" s="25"/>
      <c r="D75" s="25"/>
      <c r="E75" s="25"/>
      <c r="F75" s="25"/>
      <c r="G75" s="25"/>
      <c r="H75" s="25"/>
    </row>
    <row r="78" spans="1:80">
      <c r="R78" s="10"/>
    </row>
    <row r="81" spans="9:20">
      <c r="R81" s="10"/>
    </row>
  </sheetData>
  <sheetProtection formatCells="0" formatColumns="0" formatRows="0"/>
  <mergeCells count="2">
    <mergeCell ref="E5:E6"/>
    <mergeCell ref="A42:A50"/>
  </mergeCells>
  <printOptions headings="1"/>
  <pageMargins left="0.35433070866141736" right="0.27559055118110237" top="0.43307086614173229" bottom="0.31496062992125984" header="0.31496062992125984" footer="0.15748031496062992"/>
  <pageSetup paperSize="9" scale="41" fitToWidth="2" orientation="landscape" r:id="rId1"/>
  <headerFooter>
    <oddFooter>&amp;C&amp;8&amp;P / &amp;N&amp;R&amp;8&amp;D/&amp;F/&amp;A/thr</oddFooter>
  </headerFooter>
  <drawing r:id="rId2"/>
  <picture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>
    <tabColor rgb="FF00B050"/>
    <pageSetUpPr fitToPage="1"/>
  </sheetPr>
  <dimension ref="A1:BQ73"/>
  <sheetViews>
    <sheetView showGridLines="0" zoomScale="75" zoomScaleNormal="75" workbookViewId="0">
      <pane xSplit="3" ySplit="12" topLeftCell="M13" activePane="bottomRight" state="frozen"/>
      <selection activeCell="BV9" activeCellId="1" sqref="BK9 BV9"/>
      <selection pane="topRight" activeCell="BV9" activeCellId="1" sqref="BK9 BV9"/>
      <selection pane="bottomLeft" activeCell="BV9" activeCellId="1" sqref="BK9 BV9"/>
      <selection pane="bottomRight" activeCell="C8" sqref="C8"/>
    </sheetView>
  </sheetViews>
  <sheetFormatPr baseColWidth="10" defaultRowHeight="12.75" outlineLevelCol="1"/>
  <cols>
    <col min="1" max="1" width="10.7109375" customWidth="1"/>
    <col min="2" max="2" width="61" style="40" customWidth="1"/>
    <col min="3" max="3" width="17.42578125" style="36" customWidth="1"/>
    <col min="13" max="13" width="15.5703125" style="7" customWidth="1" collapsed="1"/>
    <col min="41" max="41" width="15.5703125" customWidth="1" collapsed="1"/>
    <col min="54" max="54" width="15.5703125" customWidth="1" collapsed="1"/>
    <col min="62" max="62" width="15.5703125" customWidth="1" collapsed="1"/>
    <col min="63" max="65" width="15.5703125" customWidth="1"/>
    <col min="66" max="66" width="15.5703125" customWidth="1" collapsed="1"/>
    <col min="67" max="69" width="15.5703125" customWidth="1"/>
  </cols>
  <sheetData>
    <row r="1" spans="1:69" ht="26.25">
      <c r="C1" s="9" t="str">
        <f>+'KTR-Ausweis Gesamtansicht'!C1</f>
        <v>Integriertes Tarifmodell Kostenträgerrechnung (ITAR-K) CH V5.0</v>
      </c>
    </row>
    <row r="2" spans="1:69">
      <c r="C2" s="151" t="str">
        <f>+'KTR-Ausweis Gesamtansicht'!C2</f>
        <v>Nach einer Idee von Hans Isler</v>
      </c>
    </row>
    <row r="3" spans="1:69" ht="18">
      <c r="C3" s="154"/>
    </row>
    <row r="4" spans="1:69">
      <c r="C4" s="2" t="str">
        <f>+'KTR-Ausweis Gesamtansicht'!C4</f>
        <v>Kostenbasis = Kostenträgerrechnung nach REKOLE® zu Vollkosten</v>
      </c>
    </row>
    <row r="5" spans="1:69">
      <c r="C5" s="177" t="str">
        <f>+'KTR-Ausweis Gesamtansicht'!C5</f>
        <v>Modell Kostenträgerrechnung</v>
      </c>
    </row>
    <row r="8" spans="1:69" ht="23.25">
      <c r="A8" s="179">
        <f>+'KTR-Ausweis Gesamtansicht'!A8</f>
        <v>0</v>
      </c>
      <c r="C8" s="215" t="s">
        <v>151</v>
      </c>
    </row>
    <row r="9" spans="1:69" ht="18.75" thickBot="1">
      <c r="A9" s="31" t="str">
        <f>+'KTR-Ausweis Gesamtansicht'!A9</f>
        <v>Kostenträgerausweis nach REKOLE®</v>
      </c>
    </row>
    <row r="10" spans="1:69" s="74" customFormat="1" ht="51.75" thickBot="1">
      <c r="A10" s="117"/>
      <c r="B10" s="228" t="str">
        <f>+'KTR-Ausweis Gesamtansicht'!B10</f>
        <v>Kostenträgerstückrechnung 1.1.-31.12.2014</v>
      </c>
      <c r="C10" s="99"/>
      <c r="M10" s="343" t="str">
        <f>+'KTR-Ausweis Gesamtansicht'!R10</f>
        <v>Total 
stationär, SwissDRG relevant</v>
      </c>
      <c r="AO10" s="343" t="str">
        <f>+'KTR-Ausweis Gesamtansicht'!BF10</f>
        <v>Total Rehabilitation stationär</v>
      </c>
      <c r="BB10" s="343" t="str">
        <f>+'KTR-Ausweis Gesamtansicht'!BS10</f>
        <v>Total 
Psychiatrie stationär</v>
      </c>
      <c r="BJ10" s="128" t="str">
        <f>+'KTR-Ausweis Gesamtansicht'!BT10</f>
        <v>geriatrische Langzeit
stationär</v>
      </c>
      <c r="BK10" s="128" t="str">
        <f>+'KTR-Ausweis Gesamtansicht'!BU10</f>
        <v>Palliativ
stationär</v>
      </c>
      <c r="BL10" s="128" t="str">
        <f>+'KTR-Ausweis Gesamtansicht'!BV10</f>
        <v>weitere Tarife (z. B. SVK)
stationär</v>
      </c>
      <c r="BM10" s="128" t="str">
        <f>'KTR-Ausweis Gesamtansicht'!BW10</f>
        <v>Total stationär</v>
      </c>
      <c r="BN10" s="343" t="str">
        <f>+'KTR-Ausweis Gesamtansicht'!CE10</f>
        <v>Total 
Tageskliniken Psychiatrie</v>
      </c>
      <c r="BO10" s="128" t="str">
        <f>+'KTR-Ausweis Gesamtansicht'!CF10</f>
        <v>universitäre Lehre + Forschung</v>
      </c>
      <c r="BP10" s="128" t="str">
        <f>+'KTR-Ausweis Gesamtansicht'!CG10</f>
        <v>übrige Aufträge an Dritte, inkl. GWL</v>
      </c>
      <c r="BQ10" s="128" t="str">
        <f>+'KTR-Ausweis Gesamtansicht'!CH10</f>
        <v xml:space="preserve"> ambulante
Behandlung
Total</v>
      </c>
    </row>
    <row r="11" spans="1:69" s="35" customFormat="1">
      <c r="A11" s="32"/>
      <c r="B11" s="42"/>
      <c r="C11" s="38"/>
      <c r="M11" s="34"/>
      <c r="AO11" s="34"/>
      <c r="BB11" s="34"/>
      <c r="BJ11" s="34"/>
      <c r="BK11" s="34"/>
      <c r="BL11" s="34"/>
      <c r="BM11" s="34"/>
      <c r="BN11" s="34"/>
      <c r="BO11" s="34"/>
      <c r="BP11" s="34"/>
      <c r="BQ11" s="34"/>
    </row>
    <row r="12" spans="1:69" s="30" customFormat="1" ht="15">
      <c r="A12" s="65" t="str">
        <f>+'KTR-Ausweis Gesamtansicht'!A12</f>
        <v>Erlös</v>
      </c>
      <c r="B12" s="66"/>
      <c r="C12" s="67"/>
      <c r="M12" s="72"/>
      <c r="AO12" s="72"/>
      <c r="BB12" s="72"/>
      <c r="BJ12" s="72"/>
      <c r="BK12" s="72"/>
      <c r="BL12" s="72"/>
      <c r="BM12" s="72"/>
      <c r="BN12" s="72"/>
      <c r="BO12" s="72"/>
      <c r="BP12" s="72"/>
      <c r="BQ12" s="72"/>
    </row>
    <row r="13" spans="1:69" s="35" customFormat="1">
      <c r="A13" s="50">
        <f>+'KTR-Ausweis Gesamtansicht'!A13</f>
        <v>60</v>
      </c>
      <c r="B13" s="46" t="str">
        <f>+'KTR-Ausweis Gesamtansicht'!B13</f>
        <v>Erlös aus medizinischen, pflegerischen und therapeutischen Leistungen</v>
      </c>
      <c r="C13" s="33"/>
      <c r="M13" s="226"/>
      <c r="AO13" s="226"/>
      <c r="BB13" s="226"/>
      <c r="BJ13" s="226"/>
      <c r="BK13" s="226"/>
      <c r="BL13" s="226"/>
      <c r="BM13" s="226"/>
      <c r="BN13" s="226"/>
      <c r="BO13" s="226"/>
      <c r="BP13" s="226"/>
      <c r="BQ13" s="226"/>
    </row>
    <row r="14" spans="1:69" s="35" customFormat="1">
      <c r="A14" s="50">
        <f>+'KTR-Ausweis Gesamtansicht'!A14</f>
        <v>61</v>
      </c>
      <c r="B14" s="46" t="str">
        <f>+'KTR-Ausweis Gesamtansicht'!B14</f>
        <v>Ärztliche Einzelleistungen</v>
      </c>
      <c r="C14" s="33"/>
      <c r="M14" s="226"/>
      <c r="AO14" s="226"/>
      <c r="BB14" s="226"/>
      <c r="BJ14" s="226"/>
      <c r="BK14" s="226"/>
      <c r="BL14" s="226"/>
      <c r="BM14" s="226"/>
      <c r="BN14" s="226"/>
      <c r="BO14" s="226"/>
      <c r="BP14" s="226"/>
      <c r="BQ14" s="226"/>
    </row>
    <row r="15" spans="1:69" s="35" customFormat="1">
      <c r="A15" s="50">
        <f>+'KTR-Ausweis Gesamtansicht'!A15</f>
        <v>62</v>
      </c>
      <c r="B15" s="46" t="str">
        <f>+'KTR-Ausweis Gesamtansicht'!B15</f>
        <v>Übrige Spitaleinzelleistungen</v>
      </c>
      <c r="C15" s="33"/>
      <c r="M15" s="226"/>
      <c r="AO15" s="226"/>
      <c r="BB15" s="226"/>
      <c r="BJ15" s="226"/>
      <c r="BK15" s="226"/>
      <c r="BL15" s="226"/>
      <c r="BM15" s="226"/>
      <c r="BN15" s="226"/>
      <c r="BO15" s="226"/>
      <c r="BP15" s="226"/>
      <c r="BQ15" s="226"/>
    </row>
    <row r="16" spans="1:69" s="35" customFormat="1">
      <c r="A16" s="54">
        <f>+'KTR-Ausweis Gesamtansicht'!A16</f>
        <v>65</v>
      </c>
      <c r="B16" s="46" t="str">
        <f>+'KTR-Ausweis Gesamtansicht'!B16</f>
        <v>Übrige Erlöse aus Leistungen an Patienten</v>
      </c>
      <c r="C16" s="33"/>
      <c r="M16" s="226"/>
      <c r="AO16" s="226"/>
      <c r="BB16" s="226"/>
      <c r="BJ16" s="226"/>
      <c r="BK16" s="226"/>
      <c r="BL16" s="226"/>
      <c r="BM16" s="226"/>
      <c r="BN16" s="226"/>
      <c r="BO16" s="226"/>
      <c r="BP16" s="226"/>
      <c r="BQ16" s="226"/>
    </row>
    <row r="17" spans="1:69" s="35" customFormat="1">
      <c r="A17" s="54">
        <f>+'KTR-Ausweis Gesamtansicht'!A17</f>
        <v>66</v>
      </c>
      <c r="B17" s="46" t="str">
        <f>+'KTR-Ausweis Gesamtansicht'!B17</f>
        <v>Finanzerlös</v>
      </c>
      <c r="C17" s="33"/>
      <c r="M17" s="226"/>
      <c r="AO17" s="226"/>
      <c r="BB17" s="226"/>
      <c r="BJ17" s="226"/>
      <c r="BK17" s="226"/>
      <c r="BL17" s="226"/>
      <c r="BM17" s="226"/>
      <c r="BN17" s="226"/>
      <c r="BO17" s="226"/>
      <c r="BP17" s="226"/>
      <c r="BQ17" s="226"/>
    </row>
    <row r="18" spans="1:69" s="35" customFormat="1">
      <c r="A18" s="54">
        <f>+'KTR-Ausweis Gesamtansicht'!A18</f>
        <v>67</v>
      </c>
      <c r="B18" s="46" t="str">
        <f>+'KTR-Ausweis Gesamtansicht'!B18</f>
        <v>Bestandesänderungen an unfertigen und fertigen Erzeugnissen sowie an
unverrechneten Lieferungen und Leistungen</v>
      </c>
      <c r="C18" s="33"/>
      <c r="M18" s="226"/>
      <c r="AO18" s="226"/>
      <c r="BB18" s="226"/>
      <c r="BJ18" s="226"/>
      <c r="BK18" s="226"/>
      <c r="BL18" s="226"/>
      <c r="BM18" s="226"/>
      <c r="BN18" s="226"/>
      <c r="BO18" s="226"/>
      <c r="BP18" s="226"/>
      <c r="BQ18" s="226"/>
    </row>
    <row r="19" spans="1:69" s="35" customFormat="1">
      <c r="A19" s="54">
        <f>+'KTR-Ausweis Gesamtansicht'!A19</f>
        <v>68</v>
      </c>
      <c r="B19" s="46" t="str">
        <f>+'KTR-Ausweis Gesamtansicht'!B19</f>
        <v>Erlös aus Leistungen an Personal und Dritte</v>
      </c>
      <c r="C19" s="33"/>
      <c r="M19" s="226"/>
      <c r="AO19" s="226"/>
      <c r="BB19" s="226"/>
      <c r="BJ19" s="226"/>
      <c r="BK19" s="226"/>
      <c r="BL19" s="226"/>
      <c r="BM19" s="226"/>
      <c r="BN19" s="226"/>
      <c r="BO19" s="226"/>
      <c r="BP19" s="226"/>
      <c r="BQ19" s="226"/>
    </row>
    <row r="20" spans="1:69" s="35" customFormat="1">
      <c r="A20" s="54">
        <f>+'KTR-Ausweis Gesamtansicht'!A20</f>
        <v>69</v>
      </c>
      <c r="B20" s="46" t="str">
        <f>+'KTR-Ausweis Gesamtansicht'!B20</f>
        <v>Beiträge und Subventionen</v>
      </c>
      <c r="C20" s="33"/>
      <c r="M20" s="226"/>
      <c r="AO20" s="226"/>
      <c r="BB20" s="226"/>
      <c r="BJ20" s="226"/>
      <c r="BK20" s="226"/>
      <c r="BL20" s="226"/>
      <c r="BM20" s="226"/>
      <c r="BN20" s="226"/>
      <c r="BO20" s="226"/>
      <c r="BP20" s="226"/>
      <c r="BQ20" s="226"/>
    </row>
    <row r="21" spans="1:69" s="88" customFormat="1" ht="15">
      <c r="A21" s="141" t="str">
        <f>+'KTR-Ausweis Gesamtansicht'!A21</f>
        <v>Total Erlös</v>
      </c>
      <c r="B21" s="89"/>
      <c r="C21" s="100"/>
      <c r="M21" s="130"/>
      <c r="AO21" s="130"/>
      <c r="BB21" s="130"/>
      <c r="BJ21" s="130"/>
      <c r="BK21" s="130"/>
      <c r="BL21" s="130"/>
      <c r="BM21" s="130"/>
      <c r="BN21" s="130"/>
      <c r="BO21" s="130"/>
      <c r="BP21" s="130"/>
      <c r="BQ21" s="130"/>
    </row>
    <row r="22" spans="1:69" s="88" customFormat="1" ht="15">
      <c r="A22" s="85"/>
      <c r="B22" s="85"/>
      <c r="C22" s="86"/>
      <c r="M22" s="87"/>
      <c r="AO22" s="87"/>
      <c r="BB22" s="87"/>
      <c r="BJ22" s="87"/>
      <c r="BK22" s="87"/>
      <c r="BL22" s="87"/>
      <c r="BM22" s="87"/>
      <c r="BN22" s="87"/>
      <c r="BO22" s="87"/>
      <c r="BP22" s="87"/>
      <c r="BQ22" s="87"/>
    </row>
    <row r="23" spans="1:69" s="30" customFormat="1" ht="15">
      <c r="A23" s="65" t="str">
        <f>+'KTR-Ausweis Gesamtansicht'!A23</f>
        <v>Einzelkosten</v>
      </c>
      <c r="B23" s="66"/>
      <c r="C23" s="67" t="str">
        <f>+'KTR-Ausweis Gesamtansicht'!C23</f>
        <v>Bezugsgrösse</v>
      </c>
      <c r="M23" s="131"/>
      <c r="AO23" s="131"/>
      <c r="BB23" s="131"/>
      <c r="BJ23" s="131"/>
      <c r="BK23" s="131"/>
      <c r="BL23" s="131"/>
      <c r="BM23" s="131"/>
      <c r="BN23" s="131"/>
      <c r="BO23" s="131"/>
      <c r="BP23" s="131"/>
      <c r="BQ23" s="131"/>
    </row>
    <row r="24" spans="1:69" s="51" customFormat="1" ht="12">
      <c r="A24" s="41" t="str">
        <f>+'KTR-Ausweis Gesamtansicht'!A24</f>
        <v>Medizinischer Bedarf</v>
      </c>
      <c r="B24" s="41"/>
      <c r="C24" s="37"/>
      <c r="M24" s="132"/>
      <c r="AO24" s="132"/>
      <c r="BB24" s="132"/>
      <c r="BJ24" s="132"/>
      <c r="BK24" s="132"/>
      <c r="BL24" s="132"/>
      <c r="BM24" s="132"/>
      <c r="BN24" s="132"/>
      <c r="BO24" s="132"/>
      <c r="BP24" s="132"/>
      <c r="BQ24" s="132"/>
    </row>
    <row r="25" spans="1:69" s="55" customFormat="1" ht="12">
      <c r="A25" s="805">
        <v>400</v>
      </c>
      <c r="B25" s="43" t="s">
        <v>1343</v>
      </c>
      <c r="C25" s="1507" t="str">
        <f>+'KTR-Ausweis Gesamtansicht'!C25</f>
        <v>Kalk. EP, inkl. GK-Zuschläge</v>
      </c>
      <c r="M25" s="57">
        <f>+'KTR-Ausweis Gesamtansicht'!R25</f>
        <v>0</v>
      </c>
      <c r="AO25" s="57">
        <f>+'KTR-Ausweis Gesamtansicht'!BF25</f>
        <v>0</v>
      </c>
      <c r="BB25" s="57">
        <f>+'KTR-Ausweis Gesamtansicht'!BS25</f>
        <v>0</v>
      </c>
      <c r="BJ25" s="57">
        <f>+'KTR-Ausweis Gesamtansicht'!BT25</f>
        <v>0</v>
      </c>
      <c r="BK25" s="57">
        <f>+'KTR-Ausweis Gesamtansicht'!BU25</f>
        <v>0</v>
      </c>
      <c r="BL25" s="57">
        <f>+'KTR-Ausweis Gesamtansicht'!BV25</f>
        <v>0</v>
      </c>
      <c r="BM25" s="57">
        <f>+'KTR-Ausweis Gesamtansicht'!BW25</f>
        <v>0</v>
      </c>
      <c r="BN25" s="57">
        <f>+'KTR-Ausweis Gesamtansicht'!CE25</f>
        <v>0</v>
      </c>
      <c r="BO25" s="57">
        <f>+'KTR-Ausweis Gesamtansicht'!CF25</f>
        <v>0</v>
      </c>
      <c r="BP25" s="57">
        <f>+'KTR-Ausweis Gesamtansicht'!CG25</f>
        <v>0</v>
      </c>
      <c r="BQ25" s="57">
        <f>+'KTR-Ausweis Gesamtansicht'!CH25</f>
        <v>0</v>
      </c>
    </row>
    <row r="26" spans="1:69" s="55" customFormat="1" ht="12">
      <c r="A26" s="806"/>
      <c r="B26" s="42" t="s">
        <v>1342</v>
      </c>
      <c r="C26" s="1508"/>
      <c r="M26" s="57">
        <f>+'KTR-Ausweis Gesamtansicht'!R26</f>
        <v>0</v>
      </c>
      <c r="AO26" s="57">
        <f>+'KTR-Ausweis Gesamtansicht'!BF26</f>
        <v>0</v>
      </c>
      <c r="BB26" s="57">
        <f>+'KTR-Ausweis Gesamtansicht'!BS26</f>
        <v>0</v>
      </c>
      <c r="BJ26" s="57">
        <f>+'KTR-Ausweis Gesamtansicht'!BT26</f>
        <v>0</v>
      </c>
      <c r="BK26" s="57">
        <f>+'KTR-Ausweis Gesamtansicht'!BU26</f>
        <v>0</v>
      </c>
      <c r="BL26" s="57">
        <f>+'KTR-Ausweis Gesamtansicht'!BV26</f>
        <v>0</v>
      </c>
      <c r="BM26" s="57">
        <f>+'KTR-Ausweis Gesamtansicht'!BW26</f>
        <v>0</v>
      </c>
      <c r="BN26" s="57">
        <f>+'KTR-Ausweis Gesamtansicht'!CE26</f>
        <v>0</v>
      </c>
      <c r="BO26" s="57">
        <f>+'KTR-Ausweis Gesamtansicht'!CF26</f>
        <v>0</v>
      </c>
      <c r="BP26" s="57">
        <f>+'KTR-Ausweis Gesamtansicht'!CG26</f>
        <v>0</v>
      </c>
      <c r="BQ26" s="57">
        <f>+'KTR-Ausweis Gesamtansicht'!CH26</f>
        <v>0</v>
      </c>
    </row>
    <row r="27" spans="1:69" s="55" customFormat="1" ht="12">
      <c r="A27" s="806">
        <v>401</v>
      </c>
      <c r="B27" s="804" t="s">
        <v>1345</v>
      </c>
      <c r="C27" s="1509">
        <f>+'KTR-Ausweis Gesamtansicht'!C27</f>
        <v>0</v>
      </c>
      <c r="M27" s="57">
        <f>+'KTR-Ausweis Gesamtansicht'!R27</f>
        <v>0</v>
      </c>
      <c r="AO27" s="57">
        <f>+'KTR-Ausweis Gesamtansicht'!BF27</f>
        <v>0</v>
      </c>
      <c r="BB27" s="57">
        <f>+'KTR-Ausweis Gesamtansicht'!BS27</f>
        <v>0</v>
      </c>
      <c r="BJ27" s="57">
        <f>+'KTR-Ausweis Gesamtansicht'!BT27</f>
        <v>0</v>
      </c>
      <c r="BK27" s="57">
        <f>+'KTR-Ausweis Gesamtansicht'!BU27</f>
        <v>0</v>
      </c>
      <c r="BL27" s="57">
        <f>+'KTR-Ausweis Gesamtansicht'!BV27</f>
        <v>0</v>
      </c>
      <c r="BM27" s="57">
        <f>+'KTR-Ausweis Gesamtansicht'!BW27</f>
        <v>0</v>
      </c>
      <c r="BN27" s="57">
        <f>+'KTR-Ausweis Gesamtansicht'!CE27</f>
        <v>0</v>
      </c>
      <c r="BO27" s="57">
        <f>+'KTR-Ausweis Gesamtansicht'!CF27</f>
        <v>0</v>
      </c>
      <c r="BP27" s="57">
        <f>+'KTR-Ausweis Gesamtansicht'!CG27</f>
        <v>0</v>
      </c>
      <c r="BQ27" s="57">
        <f>+'KTR-Ausweis Gesamtansicht'!CH27</f>
        <v>0</v>
      </c>
    </row>
    <row r="28" spans="1:69" s="55" customFormat="1" ht="12">
      <c r="A28" s="806"/>
      <c r="B28" s="42" t="s">
        <v>1344</v>
      </c>
      <c r="C28" s="726"/>
      <c r="M28" s="57">
        <f>+'KTR-Ausweis Gesamtansicht'!R28</f>
        <v>0</v>
      </c>
      <c r="AO28" s="57">
        <f>+'KTR-Ausweis Gesamtansicht'!BF28</f>
        <v>0</v>
      </c>
      <c r="BB28" s="57">
        <f>+'KTR-Ausweis Gesamtansicht'!BS28</f>
        <v>0</v>
      </c>
      <c r="BJ28" s="57">
        <f>+'KTR-Ausweis Gesamtansicht'!BT28</f>
        <v>0</v>
      </c>
      <c r="BK28" s="57">
        <f>+'KTR-Ausweis Gesamtansicht'!BU28</f>
        <v>0</v>
      </c>
      <c r="BL28" s="57">
        <f>+'KTR-Ausweis Gesamtansicht'!BV28</f>
        <v>0</v>
      </c>
      <c r="BM28" s="57">
        <f>+'KTR-Ausweis Gesamtansicht'!BW28</f>
        <v>0</v>
      </c>
      <c r="BN28" s="57">
        <f>+'KTR-Ausweis Gesamtansicht'!CE28</f>
        <v>0</v>
      </c>
      <c r="BO28" s="57">
        <f>+'KTR-Ausweis Gesamtansicht'!CF28</f>
        <v>0</v>
      </c>
      <c r="BP28" s="57">
        <f>+'KTR-Ausweis Gesamtansicht'!CG28</f>
        <v>0</v>
      </c>
      <c r="BQ28" s="57">
        <f>+'KTR-Ausweis Gesamtansicht'!CH28</f>
        <v>0</v>
      </c>
    </row>
    <row r="29" spans="1:69" s="55" customFormat="1" ht="12">
      <c r="A29" s="218">
        <f>+'KTR-Ausweis Gesamtansicht'!A29</f>
        <v>405</v>
      </c>
      <c r="B29" s="44" t="str">
        <f>+'KTR-Ausweis Gesamtansicht'!B29</f>
        <v>Medizinische, diagn. und therap. Fremdleistungen (exkl. Artzhonorare)</v>
      </c>
      <c r="C29" s="1506" t="str">
        <f>+'KTR-Ausweis Gesamtansicht'!C29</f>
        <v>Faktura</v>
      </c>
      <c r="M29" s="57">
        <f>+'KTR-Ausweis Gesamtansicht'!R29</f>
        <v>0</v>
      </c>
      <c r="AO29" s="57">
        <f>+'KTR-Ausweis Gesamtansicht'!BF29</f>
        <v>0</v>
      </c>
      <c r="BB29" s="57">
        <f>+'KTR-Ausweis Gesamtansicht'!BS29</f>
        <v>0</v>
      </c>
      <c r="BJ29" s="57">
        <f>+'KTR-Ausweis Gesamtansicht'!BT29</f>
        <v>0</v>
      </c>
      <c r="BK29" s="57">
        <f>+'KTR-Ausweis Gesamtansicht'!BU29</f>
        <v>0</v>
      </c>
      <c r="BL29" s="57">
        <f>+'KTR-Ausweis Gesamtansicht'!BV29</f>
        <v>0</v>
      </c>
      <c r="BM29" s="57">
        <f>+'KTR-Ausweis Gesamtansicht'!BW29</f>
        <v>0</v>
      </c>
      <c r="BN29" s="57">
        <f>+'KTR-Ausweis Gesamtansicht'!CE29</f>
        <v>0</v>
      </c>
      <c r="BO29" s="57">
        <f>+'KTR-Ausweis Gesamtansicht'!CF29</f>
        <v>0</v>
      </c>
      <c r="BP29" s="57">
        <f>+'KTR-Ausweis Gesamtansicht'!CG29</f>
        <v>0</v>
      </c>
      <c r="BQ29" s="57">
        <f>+'KTR-Ausweis Gesamtansicht'!CH29</f>
        <v>0</v>
      </c>
    </row>
    <row r="30" spans="1:69" s="55" customFormat="1" ht="12">
      <c r="A30" s="219"/>
      <c r="B30" s="45" t="str">
        <f>+'KTR-Ausweis Gesamtansicht'!B30</f>
        <v>Arzthonorare (nicht sozialversicherungspflichtig)</v>
      </c>
      <c r="C30" s="1506">
        <f>+'KTR-Ausweis Gesamtansicht'!C30</f>
        <v>0</v>
      </c>
      <c r="M30" s="57">
        <f>+'KTR-Ausweis Gesamtansicht'!R30</f>
        <v>0</v>
      </c>
      <c r="AO30" s="57">
        <f>+'KTR-Ausweis Gesamtansicht'!BF30</f>
        <v>0</v>
      </c>
      <c r="BB30" s="57">
        <f>+'KTR-Ausweis Gesamtansicht'!BS30</f>
        <v>0</v>
      </c>
      <c r="BJ30" s="57">
        <f>+'KTR-Ausweis Gesamtansicht'!BT30</f>
        <v>0</v>
      </c>
      <c r="BK30" s="57">
        <f>+'KTR-Ausweis Gesamtansicht'!BU30</f>
        <v>0</v>
      </c>
      <c r="BL30" s="57">
        <f>+'KTR-Ausweis Gesamtansicht'!BV30</f>
        <v>0</v>
      </c>
      <c r="BM30" s="57">
        <f>+'KTR-Ausweis Gesamtansicht'!BW30</f>
        <v>0</v>
      </c>
      <c r="BN30" s="57">
        <f>+'KTR-Ausweis Gesamtansicht'!CE30</f>
        <v>0</v>
      </c>
      <c r="BO30" s="57">
        <f>+'KTR-Ausweis Gesamtansicht'!CF30</f>
        <v>0</v>
      </c>
      <c r="BP30" s="57">
        <f>+'KTR-Ausweis Gesamtansicht'!CG30</f>
        <v>0</v>
      </c>
      <c r="BQ30" s="57">
        <f>+'KTR-Ausweis Gesamtansicht'!CH30</f>
        <v>0</v>
      </c>
    </row>
    <row r="31" spans="1:69" s="51" customFormat="1" ht="12">
      <c r="A31" s="41" t="str">
        <f>+'KTR-Ausweis Gesamtansicht'!A31</f>
        <v>Arzthonorarkosten (sozialversicherungspflichtig)</v>
      </c>
      <c r="B31" s="42"/>
      <c r="C31" s="38"/>
      <c r="M31" s="56"/>
      <c r="AO31" s="56"/>
      <c r="BB31" s="56"/>
      <c r="BJ31" s="56"/>
      <c r="BK31" s="56"/>
      <c r="BL31" s="56"/>
      <c r="BM31" s="56"/>
      <c r="BN31" s="56"/>
      <c r="BO31" s="56"/>
      <c r="BP31" s="56"/>
      <c r="BQ31" s="56"/>
    </row>
    <row r="32" spans="1:69" s="55" customFormat="1" ht="12">
      <c r="A32" s="217">
        <f>+'KTR-Ausweis Gesamtansicht'!A32</f>
        <v>380</v>
      </c>
      <c r="B32" s="43" t="str">
        <f>+'KTR-Ausweis Gesamtansicht'!B32</f>
        <v>Arzthonorar, Spitalärzte</v>
      </c>
      <c r="C32" s="1506" t="str">
        <f>+'KTR-Ausweis Gesamtansicht'!C32</f>
        <v>CHF, gemäss Vertrag</v>
      </c>
      <c r="M32" s="57">
        <f>+'KTR-Ausweis Gesamtansicht'!R32</f>
        <v>0</v>
      </c>
      <c r="AO32" s="57">
        <f>+'KTR-Ausweis Gesamtansicht'!BF32</f>
        <v>0</v>
      </c>
      <c r="BB32" s="57">
        <f>+'KTR-Ausweis Gesamtansicht'!BS32</f>
        <v>0</v>
      </c>
      <c r="BJ32" s="57">
        <f>+'KTR-Ausweis Gesamtansicht'!BT32</f>
        <v>0</v>
      </c>
      <c r="BK32" s="57">
        <f>+'KTR-Ausweis Gesamtansicht'!BU32</f>
        <v>0</v>
      </c>
      <c r="BL32" s="57">
        <f>+'KTR-Ausweis Gesamtansicht'!BV32</f>
        <v>0</v>
      </c>
      <c r="BM32" s="57">
        <f>+'KTR-Ausweis Gesamtansicht'!BW32</f>
        <v>0</v>
      </c>
      <c r="BN32" s="57">
        <f>+'KTR-Ausweis Gesamtansicht'!CE32</f>
        <v>0</v>
      </c>
      <c r="BO32" s="57">
        <f>+'KTR-Ausweis Gesamtansicht'!CF32</f>
        <v>0</v>
      </c>
      <c r="BP32" s="57">
        <f>+'KTR-Ausweis Gesamtansicht'!CG32</f>
        <v>0</v>
      </c>
      <c r="BQ32" s="57">
        <f>+'KTR-Ausweis Gesamtansicht'!CH32</f>
        <v>0</v>
      </c>
    </row>
    <row r="33" spans="1:69" s="55" customFormat="1" ht="12">
      <c r="A33" s="218">
        <f>+'KTR-Ausweis Gesamtansicht'!A33</f>
        <v>381</v>
      </c>
      <c r="B33" s="41" t="str">
        <f>+'KTR-Ausweis Gesamtansicht'!B33</f>
        <v>Arzthonorar, Belegärzte</v>
      </c>
      <c r="C33" s="1506">
        <f>+'KTR-Ausweis Gesamtansicht'!C33</f>
        <v>0</v>
      </c>
      <c r="M33" s="57">
        <f>+'KTR-Ausweis Gesamtansicht'!R33</f>
        <v>0</v>
      </c>
      <c r="AO33" s="57">
        <f>+'KTR-Ausweis Gesamtansicht'!BF33</f>
        <v>0</v>
      </c>
      <c r="BB33" s="57">
        <f>+'KTR-Ausweis Gesamtansicht'!BS33</f>
        <v>0</v>
      </c>
      <c r="BJ33" s="57">
        <f>+'KTR-Ausweis Gesamtansicht'!BT33</f>
        <v>0</v>
      </c>
      <c r="BK33" s="57">
        <f>+'KTR-Ausweis Gesamtansicht'!BU33</f>
        <v>0</v>
      </c>
      <c r="BL33" s="57">
        <f>+'KTR-Ausweis Gesamtansicht'!BV33</f>
        <v>0</v>
      </c>
      <c r="BM33" s="57">
        <f>+'KTR-Ausweis Gesamtansicht'!BW33</f>
        <v>0</v>
      </c>
      <c r="BN33" s="57">
        <f>+'KTR-Ausweis Gesamtansicht'!CE33</f>
        <v>0</v>
      </c>
      <c r="BO33" s="57">
        <f>+'KTR-Ausweis Gesamtansicht'!CF33</f>
        <v>0</v>
      </c>
      <c r="BP33" s="57">
        <f>+'KTR-Ausweis Gesamtansicht'!CG33</f>
        <v>0</v>
      </c>
      <c r="BQ33" s="57">
        <f>+'KTR-Ausweis Gesamtansicht'!CH33</f>
        <v>0</v>
      </c>
    </row>
    <row r="34" spans="1:69" s="51" customFormat="1" ht="12">
      <c r="A34" s="41" t="str">
        <f>+'KTR-Ausweis Gesamtansicht'!A34</f>
        <v>Übrige Einzelkosten</v>
      </c>
      <c r="B34" s="46"/>
      <c r="C34" s="37"/>
      <c r="M34" s="58"/>
      <c r="AO34" s="58"/>
      <c r="BB34" s="58"/>
      <c r="BJ34" s="58"/>
      <c r="BK34" s="58"/>
      <c r="BL34" s="58"/>
      <c r="BM34" s="58"/>
      <c r="BN34" s="58"/>
      <c r="BO34" s="58"/>
      <c r="BP34" s="58"/>
      <c r="BQ34" s="58"/>
    </row>
    <row r="35" spans="1:69" s="55" customFormat="1" ht="12">
      <c r="A35" s="218">
        <f>+'KTR-Ausweis Gesamtansicht'!A35</f>
        <v>480</v>
      </c>
      <c r="B35" s="41" t="str">
        <f>+'KTR-Ausweis Gesamtansicht'!B35</f>
        <v>Patiententransporte durch Dritte</v>
      </c>
      <c r="C35" s="33" t="str">
        <f>+'KTR-Ausweis Gesamtansicht'!C35</f>
        <v>Faktura</v>
      </c>
      <c r="M35" s="57">
        <f>+'KTR-Ausweis Gesamtansicht'!R35</f>
        <v>0</v>
      </c>
      <c r="AO35" s="57">
        <f>+'KTR-Ausweis Gesamtansicht'!BF35</f>
        <v>0</v>
      </c>
      <c r="BB35" s="57">
        <f>+'KTR-Ausweis Gesamtansicht'!BS35</f>
        <v>0</v>
      </c>
      <c r="BJ35" s="57">
        <f>+'KTR-Ausweis Gesamtansicht'!BT35</f>
        <v>0</v>
      </c>
      <c r="BK35" s="57">
        <f>+'KTR-Ausweis Gesamtansicht'!BU35</f>
        <v>0</v>
      </c>
      <c r="BL35" s="57">
        <f>+'KTR-Ausweis Gesamtansicht'!BV35</f>
        <v>0</v>
      </c>
      <c r="BM35" s="57">
        <f>+'KTR-Ausweis Gesamtansicht'!BW35</f>
        <v>0</v>
      </c>
      <c r="BN35" s="57">
        <f>+'KTR-Ausweis Gesamtansicht'!CE35</f>
        <v>0</v>
      </c>
      <c r="BO35" s="57">
        <f>+'KTR-Ausweis Gesamtansicht'!CF35</f>
        <v>0</v>
      </c>
      <c r="BP35" s="57">
        <f>+'KTR-Ausweis Gesamtansicht'!CG35</f>
        <v>0</v>
      </c>
      <c r="BQ35" s="57">
        <f>+'KTR-Ausweis Gesamtansicht'!CH35</f>
        <v>0</v>
      </c>
    </row>
    <row r="36" spans="1:69" s="55" customFormat="1" ht="12">
      <c r="A36" s="218">
        <f>+'KTR-Ausweis Gesamtansicht'!A36</f>
        <v>485</v>
      </c>
      <c r="B36" s="41" t="str">
        <f>+'KTR-Ausweis Gesamtansicht'!B36</f>
        <v>Übrige patientenbezogene Fremdleistungen</v>
      </c>
      <c r="C36" s="33" t="str">
        <f>+'KTR-Ausweis Gesamtansicht'!C36</f>
        <v>Faktura</v>
      </c>
      <c r="M36" s="57">
        <f>+'KTR-Ausweis Gesamtansicht'!R36</f>
        <v>0</v>
      </c>
      <c r="AO36" s="57">
        <f>+'KTR-Ausweis Gesamtansicht'!BF36</f>
        <v>0</v>
      </c>
      <c r="BB36" s="57">
        <f>+'KTR-Ausweis Gesamtansicht'!BS36</f>
        <v>0</v>
      </c>
      <c r="BJ36" s="57">
        <f>+'KTR-Ausweis Gesamtansicht'!BT36</f>
        <v>0</v>
      </c>
      <c r="BK36" s="57">
        <f>+'KTR-Ausweis Gesamtansicht'!BU36</f>
        <v>0</v>
      </c>
      <c r="BL36" s="57">
        <f>+'KTR-Ausweis Gesamtansicht'!BV36</f>
        <v>0</v>
      </c>
      <c r="BM36" s="57">
        <f>+'KTR-Ausweis Gesamtansicht'!BW36</f>
        <v>0</v>
      </c>
      <c r="BN36" s="57">
        <f>+'KTR-Ausweis Gesamtansicht'!CE36</f>
        <v>0</v>
      </c>
      <c r="BO36" s="57">
        <f>+'KTR-Ausweis Gesamtansicht'!CF36</f>
        <v>0</v>
      </c>
      <c r="BP36" s="57">
        <f>+'KTR-Ausweis Gesamtansicht'!CG36</f>
        <v>0</v>
      </c>
      <c r="BQ36" s="57">
        <f>+'KTR-Ausweis Gesamtansicht'!CH36</f>
        <v>0</v>
      </c>
    </row>
    <row r="37" spans="1:69" s="55" customFormat="1" ht="12">
      <c r="A37" s="218">
        <f>+'KTR-Ausweis Gesamtansicht'!A37</f>
        <v>486</v>
      </c>
      <c r="B37" s="41" t="str">
        <f>+'KTR-Ausweis Gesamtansicht'!B37</f>
        <v>Übrige Auslagen für Patienten</v>
      </c>
      <c r="C37" s="33" t="str">
        <f>+'KTR-Ausweis Gesamtansicht'!C37</f>
        <v>Faktura</v>
      </c>
      <c r="M37" s="57">
        <f>+'KTR-Ausweis Gesamtansicht'!R37</f>
        <v>0</v>
      </c>
      <c r="AO37" s="57">
        <f>+'KTR-Ausweis Gesamtansicht'!BF37</f>
        <v>0</v>
      </c>
      <c r="BB37" s="57">
        <f>+'KTR-Ausweis Gesamtansicht'!BS37</f>
        <v>0</v>
      </c>
      <c r="BJ37" s="57">
        <f>+'KTR-Ausweis Gesamtansicht'!BT37</f>
        <v>0</v>
      </c>
      <c r="BK37" s="57">
        <f>+'KTR-Ausweis Gesamtansicht'!BU37</f>
        <v>0</v>
      </c>
      <c r="BL37" s="57">
        <f>+'KTR-Ausweis Gesamtansicht'!BV37</f>
        <v>0</v>
      </c>
      <c r="BM37" s="57">
        <f>+'KTR-Ausweis Gesamtansicht'!BW37</f>
        <v>0</v>
      </c>
      <c r="BN37" s="57">
        <f>+'KTR-Ausweis Gesamtansicht'!CE37</f>
        <v>0</v>
      </c>
      <c r="BO37" s="57">
        <f>+'KTR-Ausweis Gesamtansicht'!CF37</f>
        <v>0</v>
      </c>
      <c r="BP37" s="57">
        <f>+'KTR-Ausweis Gesamtansicht'!CG37</f>
        <v>0</v>
      </c>
      <c r="BQ37" s="57">
        <f>+'KTR-Ausweis Gesamtansicht'!CH37</f>
        <v>0</v>
      </c>
    </row>
    <row r="38" spans="1:69" s="98" customFormat="1" ht="11.25">
      <c r="A38" s="95" t="str">
        <f>+'KTR-Ausweis Gesamtansicht'!A38</f>
        <v>Total Einzelkosten</v>
      </c>
      <c r="B38" s="96"/>
      <c r="C38" s="101"/>
      <c r="M38" s="97">
        <f>+'KTR-Ausweis Gesamtansicht'!R38</f>
        <v>0</v>
      </c>
      <c r="AO38" s="97">
        <f>+'KTR-Ausweis Gesamtansicht'!BF38</f>
        <v>0</v>
      </c>
      <c r="BB38" s="97">
        <f>+'KTR-Ausweis Gesamtansicht'!BS38</f>
        <v>0</v>
      </c>
      <c r="BJ38" s="97">
        <f>+'KTR-Ausweis Gesamtansicht'!BT38</f>
        <v>0</v>
      </c>
      <c r="BK38" s="97">
        <f>+'KTR-Ausweis Gesamtansicht'!BU38</f>
        <v>0</v>
      </c>
      <c r="BL38" s="97">
        <f>+'KTR-Ausweis Gesamtansicht'!BV38</f>
        <v>0</v>
      </c>
      <c r="BM38" s="97">
        <f>+'KTR-Ausweis Gesamtansicht'!BW38</f>
        <v>0</v>
      </c>
      <c r="BN38" s="97">
        <f>+'KTR-Ausweis Gesamtansicht'!CE38</f>
        <v>0</v>
      </c>
      <c r="BO38" s="97">
        <f>+'KTR-Ausweis Gesamtansicht'!CF38</f>
        <v>0</v>
      </c>
      <c r="BP38" s="97">
        <f>+'KTR-Ausweis Gesamtansicht'!CG38</f>
        <v>0</v>
      </c>
      <c r="BQ38" s="97">
        <f>+'KTR-Ausweis Gesamtansicht'!CH38</f>
        <v>0</v>
      </c>
    </row>
    <row r="39" spans="1:69" s="51" customFormat="1" ht="12">
      <c r="A39" s="42"/>
      <c r="B39" s="42"/>
      <c r="C39" s="38"/>
      <c r="M39" s="68"/>
      <c r="AO39" s="68"/>
      <c r="BB39" s="68"/>
      <c r="BJ39" s="68"/>
      <c r="BK39" s="68"/>
      <c r="BL39" s="68"/>
      <c r="BM39" s="68"/>
      <c r="BN39" s="68"/>
      <c r="BO39" s="68"/>
      <c r="BP39" s="68"/>
      <c r="BQ39" s="68"/>
    </row>
    <row r="40" spans="1:69" s="48" customFormat="1" ht="15">
      <c r="A40" s="69" t="str">
        <f>+'KTR-Ausweis Gesamtansicht'!A40</f>
        <v>Gemeinkosten</v>
      </c>
      <c r="B40" s="70"/>
      <c r="C40" s="71" t="str">
        <f>+'KTR-Ausweis Gesamtansicht'!C40</f>
        <v>Bezugsgrösse</v>
      </c>
      <c r="M40" s="84">
        <f>+'KTR-Ausweis Gesamtansicht'!R40</f>
        <v>0</v>
      </c>
      <c r="AO40" s="84">
        <f>+'KTR-Ausweis Gesamtansicht'!BF40</f>
        <v>0</v>
      </c>
      <c r="BB40" s="84">
        <f>+'KTR-Ausweis Gesamtansicht'!BS40</f>
        <v>0</v>
      </c>
      <c r="BJ40" s="84">
        <f>+'KTR-Ausweis Gesamtansicht'!BT40</f>
        <v>0</v>
      </c>
      <c r="BK40" s="84">
        <f>+'KTR-Ausweis Gesamtansicht'!BU40</f>
        <v>0</v>
      </c>
      <c r="BL40" s="84">
        <f>+'KTR-Ausweis Gesamtansicht'!BV40</f>
        <v>0</v>
      </c>
      <c r="BM40" s="84"/>
      <c r="BN40" s="84">
        <f>+'KTR-Ausweis Gesamtansicht'!CE40</f>
        <v>0</v>
      </c>
      <c r="BO40" s="84">
        <f>+'KTR-Ausweis Gesamtansicht'!CF40</f>
        <v>0</v>
      </c>
      <c r="BP40" s="84">
        <f>+'KTR-Ausweis Gesamtansicht'!CG40</f>
        <v>0</v>
      </c>
      <c r="BQ40" s="84">
        <f>+'KTR-Ausweis Gesamtansicht'!CH40</f>
        <v>0</v>
      </c>
    </row>
    <row r="41" spans="1:69" s="51" customFormat="1" ht="12">
      <c r="A41" s="143" t="str">
        <f>+'KTR-Ausweis Gesamtansicht'!A41</f>
        <v>Kostenstellen</v>
      </c>
      <c r="C41" s="73"/>
      <c r="M41" s="133"/>
      <c r="AO41" s="133"/>
      <c r="BB41" s="133"/>
      <c r="BJ41" s="133"/>
      <c r="BK41" s="133"/>
      <c r="BL41" s="133"/>
      <c r="BM41" s="133"/>
      <c r="BN41" s="133"/>
      <c r="BO41" s="133"/>
      <c r="BP41" s="133"/>
      <c r="BQ41" s="133"/>
    </row>
    <row r="42" spans="1:69" s="55" customFormat="1" ht="12">
      <c r="A42" s="218">
        <f>+'KTR-Ausweis Gesamtansicht'!A42</f>
        <v>10</v>
      </c>
      <c r="B42" s="142" t="str">
        <f>+'KTR-Ausweis Gesamtansicht'!B42</f>
        <v>Patientenadministration</v>
      </c>
      <c r="C42" s="33" t="str">
        <f>+'KTR-Ausweis Gesamtansicht'!C42</f>
        <v>administrativer Fall</v>
      </c>
      <c r="M42" s="57">
        <f>+'KTR-Ausweis Gesamtansicht'!R42</f>
        <v>0</v>
      </c>
      <c r="AO42" s="57">
        <f>+'KTR-Ausweis Gesamtansicht'!BF42</f>
        <v>0</v>
      </c>
      <c r="BB42" s="57">
        <f>+'KTR-Ausweis Gesamtansicht'!BS42</f>
        <v>0</v>
      </c>
      <c r="BJ42" s="57">
        <f>+'KTR-Ausweis Gesamtansicht'!BT42</f>
        <v>0</v>
      </c>
      <c r="BK42" s="57">
        <f>+'KTR-Ausweis Gesamtansicht'!BU42</f>
        <v>0</v>
      </c>
      <c r="BL42" s="57">
        <f>+'KTR-Ausweis Gesamtansicht'!BV42</f>
        <v>0</v>
      </c>
      <c r="BM42" s="57">
        <f>+'KTR-Ausweis Gesamtansicht'!BW42</f>
        <v>0</v>
      </c>
      <c r="BN42" s="57">
        <f>+'KTR-Ausweis Gesamtansicht'!CE42</f>
        <v>0</v>
      </c>
      <c r="BO42" s="57">
        <f>+'KTR-Ausweis Gesamtansicht'!CF42</f>
        <v>0</v>
      </c>
      <c r="BP42" s="57">
        <f>+'KTR-Ausweis Gesamtansicht'!CG42</f>
        <v>0</v>
      </c>
      <c r="BQ42" s="57">
        <f>+'KTR-Ausweis Gesamtansicht'!CH42</f>
        <v>0</v>
      </c>
    </row>
    <row r="43" spans="1:69" s="55" customFormat="1" ht="12">
      <c r="A43" s="218">
        <f>+'KTR-Ausweis Gesamtansicht'!A43</f>
        <v>20</v>
      </c>
      <c r="B43" s="142" t="str">
        <f>+'KTR-Ausweis Gesamtansicht'!B43</f>
        <v>OPS-Säle</v>
      </c>
      <c r="C43" s="33" t="str">
        <f>+'KTR-Ausweis Gesamtansicht'!C43</f>
        <v>TP und Min.</v>
      </c>
      <c r="M43" s="57">
        <f>+'KTR-Ausweis Gesamtansicht'!R43</f>
        <v>0</v>
      </c>
      <c r="AO43" s="57">
        <f>+'KTR-Ausweis Gesamtansicht'!BF43</f>
        <v>0</v>
      </c>
      <c r="BB43" s="57">
        <f>+'KTR-Ausweis Gesamtansicht'!BS43</f>
        <v>0</v>
      </c>
      <c r="BJ43" s="57">
        <f>+'KTR-Ausweis Gesamtansicht'!BT43</f>
        <v>0</v>
      </c>
      <c r="BK43" s="57">
        <f>+'KTR-Ausweis Gesamtansicht'!BU43</f>
        <v>0</v>
      </c>
      <c r="BL43" s="57">
        <f>+'KTR-Ausweis Gesamtansicht'!BV43</f>
        <v>0</v>
      </c>
      <c r="BM43" s="57">
        <f>+'KTR-Ausweis Gesamtansicht'!BW43</f>
        <v>0</v>
      </c>
      <c r="BN43" s="57">
        <f>+'KTR-Ausweis Gesamtansicht'!CE43</f>
        <v>0</v>
      </c>
      <c r="BO43" s="57">
        <f>+'KTR-Ausweis Gesamtansicht'!CF43</f>
        <v>0</v>
      </c>
      <c r="BP43" s="57">
        <f>+'KTR-Ausweis Gesamtansicht'!CG43</f>
        <v>0</v>
      </c>
      <c r="BQ43" s="57">
        <f>+'KTR-Ausweis Gesamtansicht'!CH43</f>
        <v>0</v>
      </c>
    </row>
    <row r="44" spans="1:69" s="55" customFormat="1" ht="12">
      <c r="A44" s="218">
        <f>+'KTR-Ausweis Gesamtansicht'!A44</f>
        <v>23</v>
      </c>
      <c r="B44" s="142" t="str">
        <f>+'KTR-Ausweis Gesamtansicht'!B44</f>
        <v>Anästhesie (inkl. Ärzteschaft)</v>
      </c>
      <c r="C44" s="33" t="str">
        <f>+'KTR-Ausweis Gesamtansicht'!C44</f>
        <v>TP und Min.</v>
      </c>
      <c r="M44" s="57">
        <f>+'KTR-Ausweis Gesamtansicht'!R44</f>
        <v>0</v>
      </c>
      <c r="AO44" s="57">
        <f>+'KTR-Ausweis Gesamtansicht'!BF44</f>
        <v>0</v>
      </c>
      <c r="BB44" s="57">
        <f>+'KTR-Ausweis Gesamtansicht'!BS44</f>
        <v>0</v>
      </c>
      <c r="BJ44" s="57">
        <f>+'KTR-Ausweis Gesamtansicht'!BT44</f>
        <v>0</v>
      </c>
      <c r="BK44" s="57">
        <f>+'KTR-Ausweis Gesamtansicht'!BU44</f>
        <v>0</v>
      </c>
      <c r="BL44" s="57">
        <f>+'KTR-Ausweis Gesamtansicht'!BV44</f>
        <v>0</v>
      </c>
      <c r="BM44" s="57">
        <f>+'KTR-Ausweis Gesamtansicht'!BW44</f>
        <v>0</v>
      </c>
      <c r="BN44" s="57">
        <f>+'KTR-Ausweis Gesamtansicht'!CE44</f>
        <v>0</v>
      </c>
      <c r="BO44" s="57">
        <f>+'KTR-Ausweis Gesamtansicht'!CF44</f>
        <v>0</v>
      </c>
      <c r="BP44" s="57">
        <f>+'KTR-Ausweis Gesamtansicht'!CG44</f>
        <v>0</v>
      </c>
      <c r="BQ44" s="57">
        <f>+'KTR-Ausweis Gesamtansicht'!CH44</f>
        <v>0</v>
      </c>
    </row>
    <row r="45" spans="1:69" s="55" customFormat="1" ht="12">
      <c r="A45" s="218">
        <f>+'KTR-Ausweis Gesamtansicht'!A45</f>
        <v>24</v>
      </c>
      <c r="B45" s="142" t="str">
        <f>+'KTR-Ausweis Gesamtansicht'!B45</f>
        <v>Intensivpflege und intermediate Care</v>
      </c>
      <c r="C45" s="33" t="str">
        <f>+'KTR-Ausweis Gesamtansicht'!C45</f>
        <v>TP und Min.</v>
      </c>
      <c r="M45" s="57">
        <f>+'KTR-Ausweis Gesamtansicht'!R45</f>
        <v>0</v>
      </c>
      <c r="AO45" s="57">
        <f>+'KTR-Ausweis Gesamtansicht'!BF45</f>
        <v>0</v>
      </c>
      <c r="BB45" s="57">
        <f>+'KTR-Ausweis Gesamtansicht'!BS45</f>
        <v>0</v>
      </c>
      <c r="BJ45" s="57">
        <f>+'KTR-Ausweis Gesamtansicht'!BT45</f>
        <v>0</v>
      </c>
      <c r="BK45" s="57">
        <f>+'KTR-Ausweis Gesamtansicht'!BU45</f>
        <v>0</v>
      </c>
      <c r="BL45" s="57">
        <f>+'KTR-Ausweis Gesamtansicht'!BV45</f>
        <v>0</v>
      </c>
      <c r="BM45" s="57">
        <f>+'KTR-Ausweis Gesamtansicht'!BW45</f>
        <v>0</v>
      </c>
      <c r="BN45" s="57">
        <f>+'KTR-Ausweis Gesamtansicht'!CE45</f>
        <v>0</v>
      </c>
      <c r="BO45" s="57">
        <f>+'KTR-Ausweis Gesamtansicht'!CF45</f>
        <v>0</v>
      </c>
      <c r="BP45" s="57">
        <f>+'KTR-Ausweis Gesamtansicht'!CG45</f>
        <v>0</v>
      </c>
      <c r="BQ45" s="57">
        <f>+'KTR-Ausweis Gesamtansicht'!CH45</f>
        <v>0</v>
      </c>
    </row>
    <row r="46" spans="1:69" s="55" customFormat="1" ht="12">
      <c r="A46" s="218">
        <f>+'KTR-Ausweis Gesamtansicht'!A46</f>
        <v>25</v>
      </c>
      <c r="B46" s="142" t="str">
        <f>+'KTR-Ausweis Gesamtansicht'!B46</f>
        <v>Notfall</v>
      </c>
      <c r="C46" s="33" t="str">
        <f>+'KTR-Ausweis Gesamtansicht'!C46</f>
        <v>TP und Min.</v>
      </c>
      <c r="M46" s="57">
        <f>+'KTR-Ausweis Gesamtansicht'!R46</f>
        <v>0</v>
      </c>
      <c r="AO46" s="57">
        <f>+'KTR-Ausweis Gesamtansicht'!BF46</f>
        <v>0</v>
      </c>
      <c r="BB46" s="57">
        <f>+'KTR-Ausweis Gesamtansicht'!BS46</f>
        <v>0</v>
      </c>
      <c r="BJ46" s="57">
        <f>+'KTR-Ausweis Gesamtansicht'!BT46</f>
        <v>0</v>
      </c>
      <c r="BK46" s="57">
        <f>+'KTR-Ausweis Gesamtansicht'!BU46</f>
        <v>0</v>
      </c>
      <c r="BL46" s="57">
        <f>+'KTR-Ausweis Gesamtansicht'!BV46</f>
        <v>0</v>
      </c>
      <c r="BM46" s="57">
        <f>+'KTR-Ausweis Gesamtansicht'!BW46</f>
        <v>0</v>
      </c>
      <c r="BN46" s="57">
        <f>+'KTR-Ausweis Gesamtansicht'!CE46</f>
        <v>0</v>
      </c>
      <c r="BO46" s="57">
        <f>+'KTR-Ausweis Gesamtansicht'!CF46</f>
        <v>0</v>
      </c>
      <c r="BP46" s="57">
        <f>+'KTR-Ausweis Gesamtansicht'!CG46</f>
        <v>0</v>
      </c>
      <c r="BQ46" s="57">
        <f>+'KTR-Ausweis Gesamtansicht'!CH46</f>
        <v>0</v>
      </c>
    </row>
    <row r="47" spans="1:69" s="55" customFormat="1" ht="12">
      <c r="A47" s="218">
        <f>+'KTR-Ausweis Gesamtansicht'!A47</f>
        <v>26</v>
      </c>
      <c r="B47" s="142" t="str">
        <f>+'KTR-Ausweis Gesamtansicht'!B47</f>
        <v>Bildgebende Verfahren  (inkl. Ärzteschaft)</v>
      </c>
      <c r="C47" s="33" t="str">
        <f>+'KTR-Ausweis Gesamtansicht'!C47</f>
        <v>TP und Min.</v>
      </c>
      <c r="M47" s="57">
        <f>+'KTR-Ausweis Gesamtansicht'!R47</f>
        <v>0</v>
      </c>
      <c r="AO47" s="57">
        <f>+'KTR-Ausweis Gesamtansicht'!BF47</f>
        <v>0</v>
      </c>
      <c r="BB47" s="57">
        <f>+'KTR-Ausweis Gesamtansicht'!BS47</f>
        <v>0</v>
      </c>
      <c r="BJ47" s="57">
        <f>+'KTR-Ausweis Gesamtansicht'!BT47</f>
        <v>0</v>
      </c>
      <c r="BK47" s="57">
        <f>+'KTR-Ausweis Gesamtansicht'!BU47</f>
        <v>0</v>
      </c>
      <c r="BL47" s="57">
        <f>+'KTR-Ausweis Gesamtansicht'!BV47</f>
        <v>0</v>
      </c>
      <c r="BM47" s="57">
        <f>+'KTR-Ausweis Gesamtansicht'!BW47</f>
        <v>0</v>
      </c>
      <c r="BN47" s="57">
        <f>+'KTR-Ausweis Gesamtansicht'!CE47</f>
        <v>0</v>
      </c>
      <c r="BO47" s="57">
        <f>+'KTR-Ausweis Gesamtansicht'!CF47</f>
        <v>0</v>
      </c>
      <c r="BP47" s="57">
        <f>+'KTR-Ausweis Gesamtansicht'!CG47</f>
        <v>0</v>
      </c>
      <c r="BQ47" s="57">
        <f>+'KTR-Ausweis Gesamtansicht'!CH47</f>
        <v>0</v>
      </c>
    </row>
    <row r="48" spans="1:69" s="55" customFormat="1" ht="12">
      <c r="A48" s="218">
        <f>+'KTR-Ausweis Gesamtansicht'!A48</f>
        <v>27</v>
      </c>
      <c r="B48" s="142" t="str">
        <f>+'KTR-Ausweis Gesamtansicht'!B48</f>
        <v>Gebärsaal</v>
      </c>
      <c r="C48" s="33" t="str">
        <f>+'KTR-Ausweis Gesamtansicht'!C48</f>
        <v>TP und Min.</v>
      </c>
      <c r="M48" s="57">
        <f>+'KTR-Ausweis Gesamtansicht'!R48</f>
        <v>0</v>
      </c>
      <c r="AO48" s="57">
        <f>+'KTR-Ausweis Gesamtansicht'!BF48</f>
        <v>0</v>
      </c>
      <c r="BB48" s="57">
        <f>+'KTR-Ausweis Gesamtansicht'!BS48</f>
        <v>0</v>
      </c>
      <c r="BJ48" s="57">
        <f>+'KTR-Ausweis Gesamtansicht'!BT48</f>
        <v>0</v>
      </c>
      <c r="BK48" s="57">
        <f>+'KTR-Ausweis Gesamtansicht'!BU48</f>
        <v>0</v>
      </c>
      <c r="BL48" s="57">
        <f>+'KTR-Ausweis Gesamtansicht'!BV48</f>
        <v>0</v>
      </c>
      <c r="BM48" s="57">
        <f>+'KTR-Ausweis Gesamtansicht'!BW48</f>
        <v>0</v>
      </c>
      <c r="BN48" s="57">
        <f>+'KTR-Ausweis Gesamtansicht'!CE48</f>
        <v>0</v>
      </c>
      <c r="BO48" s="57">
        <f>+'KTR-Ausweis Gesamtansicht'!CF48</f>
        <v>0</v>
      </c>
      <c r="BP48" s="57">
        <f>+'KTR-Ausweis Gesamtansicht'!CG48</f>
        <v>0</v>
      </c>
      <c r="BQ48" s="57">
        <f>+'KTR-Ausweis Gesamtansicht'!CH48</f>
        <v>0</v>
      </c>
    </row>
    <row r="49" spans="1:69" s="55" customFormat="1" ht="12">
      <c r="A49" s="218">
        <f>+'KTR-Ausweis Gesamtansicht'!A49</f>
        <v>28</v>
      </c>
      <c r="B49" s="142" t="str">
        <f>+'KTR-Ausweis Gesamtansicht'!B49</f>
        <v>Nuklearmedizin und Radioonkologie (inkl. Ärzteschaft)</v>
      </c>
      <c r="C49" s="33" t="str">
        <f>+'KTR-Ausweis Gesamtansicht'!C49</f>
        <v>TP und Min.</v>
      </c>
      <c r="M49" s="57">
        <f>+'KTR-Ausweis Gesamtansicht'!R49</f>
        <v>0</v>
      </c>
      <c r="AO49" s="57">
        <f>+'KTR-Ausweis Gesamtansicht'!BF49</f>
        <v>0</v>
      </c>
      <c r="BB49" s="57">
        <f>+'KTR-Ausweis Gesamtansicht'!BS49</f>
        <v>0</v>
      </c>
      <c r="BJ49" s="57">
        <f>+'KTR-Ausweis Gesamtansicht'!BT49</f>
        <v>0</v>
      </c>
      <c r="BK49" s="57">
        <f>+'KTR-Ausweis Gesamtansicht'!BU49</f>
        <v>0</v>
      </c>
      <c r="BL49" s="57">
        <f>+'KTR-Ausweis Gesamtansicht'!BV49</f>
        <v>0</v>
      </c>
      <c r="BM49" s="57">
        <f>+'KTR-Ausweis Gesamtansicht'!BW49</f>
        <v>0</v>
      </c>
      <c r="BN49" s="57">
        <f>+'KTR-Ausweis Gesamtansicht'!CE49</f>
        <v>0</v>
      </c>
      <c r="BO49" s="57">
        <f>+'KTR-Ausweis Gesamtansicht'!CF49</f>
        <v>0</v>
      </c>
      <c r="BP49" s="57">
        <f>+'KTR-Ausweis Gesamtansicht'!CG49</f>
        <v>0</v>
      </c>
      <c r="BQ49" s="57">
        <f>+'KTR-Ausweis Gesamtansicht'!CH49</f>
        <v>0</v>
      </c>
    </row>
    <row r="50" spans="1:69" s="55" customFormat="1" ht="12">
      <c r="A50" s="218">
        <f>+'KTR-Ausweis Gesamtansicht'!A50</f>
        <v>29</v>
      </c>
      <c r="B50" s="142" t="str">
        <f>+'KTR-Ausweis Gesamtansicht'!B50</f>
        <v>Labor (inkl. Ärzteschaft)</v>
      </c>
      <c r="C50" s="33" t="str">
        <f>+'KTR-Ausweis Gesamtansicht'!C50</f>
        <v>TP und Min.</v>
      </c>
      <c r="M50" s="57">
        <f>+'KTR-Ausweis Gesamtansicht'!R50</f>
        <v>0</v>
      </c>
      <c r="AO50" s="57">
        <f>+'KTR-Ausweis Gesamtansicht'!BF50</f>
        <v>0</v>
      </c>
      <c r="BB50" s="57">
        <f>+'KTR-Ausweis Gesamtansicht'!BS50</f>
        <v>0</v>
      </c>
      <c r="BJ50" s="57">
        <f>+'KTR-Ausweis Gesamtansicht'!BT50</f>
        <v>0</v>
      </c>
      <c r="BK50" s="57">
        <f>+'KTR-Ausweis Gesamtansicht'!BU50</f>
        <v>0</v>
      </c>
      <c r="BL50" s="57">
        <f>+'KTR-Ausweis Gesamtansicht'!BV50</f>
        <v>0</v>
      </c>
      <c r="BM50" s="57">
        <f>+'KTR-Ausweis Gesamtansicht'!BW50</f>
        <v>0</v>
      </c>
      <c r="BN50" s="57">
        <f>+'KTR-Ausweis Gesamtansicht'!CE50</f>
        <v>0</v>
      </c>
      <c r="BO50" s="57">
        <f>+'KTR-Ausweis Gesamtansicht'!CF50</f>
        <v>0</v>
      </c>
      <c r="BP50" s="57">
        <f>+'KTR-Ausweis Gesamtansicht'!CG50</f>
        <v>0</v>
      </c>
      <c r="BQ50" s="57">
        <f>+'KTR-Ausweis Gesamtansicht'!CH50</f>
        <v>0</v>
      </c>
    </row>
    <row r="51" spans="1:69" s="55" customFormat="1" ht="12">
      <c r="A51" s="218">
        <f>+'KTR-Ausweis Gesamtansicht'!A51</f>
        <v>30</v>
      </c>
      <c r="B51" s="142" t="str">
        <f>+'KTR-Ausweis Gesamtansicht'!B51</f>
        <v>Dialyse</v>
      </c>
      <c r="C51" s="33" t="str">
        <f>+'KTR-Ausweis Gesamtansicht'!C51</f>
        <v>Anzahl Dialysen</v>
      </c>
      <c r="M51" s="57">
        <f>+'KTR-Ausweis Gesamtansicht'!R51</f>
        <v>0</v>
      </c>
      <c r="AO51" s="57">
        <f>+'KTR-Ausweis Gesamtansicht'!BF51</f>
        <v>0</v>
      </c>
      <c r="BB51" s="57">
        <f>+'KTR-Ausweis Gesamtansicht'!BS51</f>
        <v>0</v>
      </c>
      <c r="BJ51" s="57">
        <f>+'KTR-Ausweis Gesamtansicht'!BT51</f>
        <v>0</v>
      </c>
      <c r="BK51" s="57">
        <f>+'KTR-Ausweis Gesamtansicht'!BU51</f>
        <v>0</v>
      </c>
      <c r="BL51" s="57">
        <f>+'KTR-Ausweis Gesamtansicht'!BV51</f>
        <v>0</v>
      </c>
      <c r="BM51" s="57">
        <f>+'KTR-Ausweis Gesamtansicht'!BW51</f>
        <v>0</v>
      </c>
      <c r="BN51" s="57">
        <f>+'KTR-Ausweis Gesamtansicht'!CE51</f>
        <v>0</v>
      </c>
      <c r="BO51" s="57">
        <f>+'KTR-Ausweis Gesamtansicht'!CF51</f>
        <v>0</v>
      </c>
      <c r="BP51" s="57">
        <f>+'KTR-Ausweis Gesamtansicht'!CG51</f>
        <v>0</v>
      </c>
      <c r="BQ51" s="57">
        <f>+'KTR-Ausweis Gesamtansicht'!CH51</f>
        <v>0</v>
      </c>
    </row>
    <row r="52" spans="1:69" s="55" customFormat="1" ht="12">
      <c r="A52" s="218">
        <f>+'KTR-Ausweis Gesamtansicht'!A52</f>
        <v>31</v>
      </c>
      <c r="B52" s="142" t="str">
        <f>+'KTR-Ausweis Gesamtansicht'!B52</f>
        <v>Ärzteschaften-Aktivitäten 1 bis 5</v>
      </c>
      <c r="C52" s="33" t="str">
        <f>+'KTR-Ausweis Gesamtansicht'!C52</f>
        <v>TP und Min.</v>
      </c>
      <c r="M52" s="57">
        <f>+'KTR-Ausweis Gesamtansicht'!R52</f>
        <v>0</v>
      </c>
      <c r="AO52" s="57">
        <f>+'KTR-Ausweis Gesamtansicht'!BF52</f>
        <v>0</v>
      </c>
      <c r="BB52" s="57">
        <f>+'KTR-Ausweis Gesamtansicht'!BS52</f>
        <v>0</v>
      </c>
      <c r="BJ52" s="57">
        <f>+'KTR-Ausweis Gesamtansicht'!BT52</f>
        <v>0</v>
      </c>
      <c r="BK52" s="57">
        <f>+'KTR-Ausweis Gesamtansicht'!BU52</f>
        <v>0</v>
      </c>
      <c r="BL52" s="57">
        <f>+'KTR-Ausweis Gesamtansicht'!BV52</f>
        <v>0</v>
      </c>
      <c r="BM52" s="57">
        <f>+'KTR-Ausweis Gesamtansicht'!BW52</f>
        <v>0</v>
      </c>
      <c r="BN52" s="57">
        <f>+'KTR-Ausweis Gesamtansicht'!CE52</f>
        <v>0</v>
      </c>
      <c r="BO52" s="57">
        <f>+'KTR-Ausweis Gesamtansicht'!CF52</f>
        <v>0</v>
      </c>
      <c r="BP52" s="57">
        <f>+'KTR-Ausweis Gesamtansicht'!CG52</f>
        <v>0</v>
      </c>
      <c r="BQ52" s="57">
        <f>+'KTR-Ausweis Gesamtansicht'!CH52</f>
        <v>0</v>
      </c>
    </row>
    <row r="53" spans="1:69" s="55" customFormat="1" ht="12">
      <c r="A53" s="219">
        <f>+'KTR-Ausweis Gesamtansicht'!A53</f>
        <v>31</v>
      </c>
      <c r="B53" s="142" t="str">
        <f>+'KTR-Ausweis Gesamtansicht'!B53</f>
        <v>Ärzteschaften-Aktivitäten 6</v>
      </c>
      <c r="C53" s="33" t="str">
        <f>+'KTR-Ausweis Gesamtansicht'!C53</f>
        <v>TP und Min.</v>
      </c>
      <c r="M53" s="57">
        <f>+'KTR-Ausweis Gesamtansicht'!R53</f>
        <v>0</v>
      </c>
      <c r="AO53" s="57">
        <f>+'KTR-Ausweis Gesamtansicht'!BF53</f>
        <v>0</v>
      </c>
      <c r="BB53" s="57">
        <f>+'KTR-Ausweis Gesamtansicht'!BS53</f>
        <v>0</v>
      </c>
      <c r="BJ53" s="57">
        <f>+'KTR-Ausweis Gesamtansicht'!BT53</f>
        <v>0</v>
      </c>
      <c r="BK53" s="57">
        <f>+'KTR-Ausweis Gesamtansicht'!BU53</f>
        <v>0</v>
      </c>
      <c r="BL53" s="57">
        <f>+'KTR-Ausweis Gesamtansicht'!BV53</f>
        <v>0</v>
      </c>
      <c r="BM53" s="57">
        <f>+'KTR-Ausweis Gesamtansicht'!BW53</f>
        <v>0</v>
      </c>
      <c r="BN53" s="57">
        <f>+'KTR-Ausweis Gesamtansicht'!CE53</f>
        <v>0</v>
      </c>
      <c r="BO53" s="57">
        <f>+'KTR-Ausweis Gesamtansicht'!CF53</f>
        <v>0</v>
      </c>
      <c r="BP53" s="57">
        <f>+'KTR-Ausweis Gesamtansicht'!CG53</f>
        <v>0</v>
      </c>
      <c r="BQ53" s="57">
        <f>+'KTR-Ausweis Gesamtansicht'!CH53</f>
        <v>0</v>
      </c>
    </row>
    <row r="54" spans="1:69" s="55" customFormat="1" ht="12">
      <c r="A54" s="218">
        <f>+'KTR-Ausweis Gesamtansicht'!A54</f>
        <v>32</v>
      </c>
      <c r="B54" s="142" t="str">
        <f>+'KTR-Ausweis Gesamtansicht'!B54</f>
        <v>Physiotherapie</v>
      </c>
      <c r="C54" s="33" t="str">
        <f>+'KTR-Ausweis Gesamtansicht'!C54</f>
        <v>TP</v>
      </c>
      <c r="M54" s="57">
        <f>+'KTR-Ausweis Gesamtansicht'!R54</f>
        <v>0</v>
      </c>
      <c r="AO54" s="57">
        <f>+'KTR-Ausweis Gesamtansicht'!BF54</f>
        <v>0</v>
      </c>
      <c r="BB54" s="57">
        <f>+'KTR-Ausweis Gesamtansicht'!BS54</f>
        <v>0</v>
      </c>
      <c r="BJ54" s="57">
        <f>+'KTR-Ausweis Gesamtansicht'!BT54</f>
        <v>0</v>
      </c>
      <c r="BK54" s="57">
        <f>+'KTR-Ausweis Gesamtansicht'!BU54</f>
        <v>0</v>
      </c>
      <c r="BL54" s="57">
        <f>+'KTR-Ausweis Gesamtansicht'!BV54</f>
        <v>0</v>
      </c>
      <c r="BM54" s="57">
        <f>+'KTR-Ausweis Gesamtansicht'!BW54</f>
        <v>0</v>
      </c>
      <c r="BN54" s="57">
        <f>+'KTR-Ausweis Gesamtansicht'!CE54</f>
        <v>0</v>
      </c>
      <c r="BO54" s="57">
        <f>+'KTR-Ausweis Gesamtansicht'!CF54</f>
        <v>0</v>
      </c>
      <c r="BP54" s="57">
        <f>+'KTR-Ausweis Gesamtansicht'!CG54</f>
        <v>0</v>
      </c>
      <c r="BQ54" s="57">
        <f>+'KTR-Ausweis Gesamtansicht'!CH54</f>
        <v>0</v>
      </c>
    </row>
    <row r="55" spans="1:69" s="55" customFormat="1" ht="12">
      <c r="A55" s="218">
        <f>+'KTR-Ausweis Gesamtansicht'!A55</f>
        <v>33</v>
      </c>
      <c r="B55" s="142" t="str">
        <f>+'KTR-Ausweis Gesamtansicht'!B55</f>
        <v>Ergotherapie</v>
      </c>
      <c r="C55" s="33" t="str">
        <f>+'KTR-Ausweis Gesamtansicht'!C55</f>
        <v>TP</v>
      </c>
      <c r="M55" s="57">
        <f>+'KTR-Ausweis Gesamtansicht'!R55</f>
        <v>0</v>
      </c>
      <c r="AO55" s="57">
        <f>+'KTR-Ausweis Gesamtansicht'!BF55</f>
        <v>0</v>
      </c>
      <c r="BB55" s="57">
        <f>+'KTR-Ausweis Gesamtansicht'!BS55</f>
        <v>0</v>
      </c>
      <c r="BJ55" s="57">
        <f>+'KTR-Ausweis Gesamtansicht'!BT55</f>
        <v>0</v>
      </c>
      <c r="BK55" s="57">
        <f>+'KTR-Ausweis Gesamtansicht'!BU55</f>
        <v>0</v>
      </c>
      <c r="BL55" s="57">
        <f>+'KTR-Ausweis Gesamtansicht'!BV55</f>
        <v>0</v>
      </c>
      <c r="BM55" s="57">
        <f>+'KTR-Ausweis Gesamtansicht'!BW55</f>
        <v>0</v>
      </c>
      <c r="BN55" s="57">
        <f>+'KTR-Ausweis Gesamtansicht'!CE55</f>
        <v>0</v>
      </c>
      <c r="BO55" s="57">
        <f>+'KTR-Ausweis Gesamtansicht'!CF55</f>
        <v>0</v>
      </c>
      <c r="BP55" s="57">
        <f>+'KTR-Ausweis Gesamtansicht'!CG55</f>
        <v>0</v>
      </c>
      <c r="BQ55" s="57">
        <f>+'KTR-Ausweis Gesamtansicht'!CH55</f>
        <v>0</v>
      </c>
    </row>
    <row r="56" spans="1:69" s="55" customFormat="1" ht="12">
      <c r="A56" s="218">
        <f>+'KTR-Ausweis Gesamtansicht'!A56</f>
        <v>34</v>
      </c>
      <c r="B56" s="142" t="str">
        <f>+'KTR-Ausweis Gesamtansicht'!B56</f>
        <v>Logopädie</v>
      </c>
      <c r="C56" s="33" t="str">
        <f>+'KTR-Ausweis Gesamtansicht'!C56</f>
        <v>TP</v>
      </c>
      <c r="M56" s="57">
        <f>+'KTR-Ausweis Gesamtansicht'!R56</f>
        <v>0</v>
      </c>
      <c r="AO56" s="57">
        <f>+'KTR-Ausweis Gesamtansicht'!BF56</f>
        <v>0</v>
      </c>
      <c r="BB56" s="57">
        <f>+'KTR-Ausweis Gesamtansicht'!BS56</f>
        <v>0</v>
      </c>
      <c r="BJ56" s="57">
        <f>+'KTR-Ausweis Gesamtansicht'!BT56</f>
        <v>0</v>
      </c>
      <c r="BK56" s="57">
        <f>+'KTR-Ausweis Gesamtansicht'!BU56</f>
        <v>0</v>
      </c>
      <c r="BL56" s="57">
        <f>+'KTR-Ausweis Gesamtansicht'!BV56</f>
        <v>0</v>
      </c>
      <c r="BM56" s="57">
        <f>+'KTR-Ausweis Gesamtansicht'!BW56</f>
        <v>0</v>
      </c>
      <c r="BN56" s="57">
        <f>+'KTR-Ausweis Gesamtansicht'!CE56</f>
        <v>0</v>
      </c>
      <c r="BO56" s="57">
        <f>+'KTR-Ausweis Gesamtansicht'!CF56</f>
        <v>0</v>
      </c>
      <c r="BP56" s="57">
        <f>+'KTR-Ausweis Gesamtansicht'!CG56</f>
        <v>0</v>
      </c>
      <c r="BQ56" s="57">
        <f>+'KTR-Ausweis Gesamtansicht'!CH56</f>
        <v>0</v>
      </c>
    </row>
    <row r="57" spans="1:69" s="55" customFormat="1" ht="12">
      <c r="A57" s="218">
        <f>+'KTR-Ausweis Gesamtansicht'!A57</f>
        <v>35</v>
      </c>
      <c r="B57" s="142" t="str">
        <f>+'KTR-Ausweis Gesamtansicht'!B57</f>
        <v>Nichtärztliche Therapien und Beratungen</v>
      </c>
      <c r="C57" s="33" t="str">
        <f>+'KTR-Ausweis Gesamtansicht'!C57</f>
        <v>TP</v>
      </c>
      <c r="M57" s="57">
        <f>+'KTR-Ausweis Gesamtansicht'!R57</f>
        <v>0</v>
      </c>
      <c r="AO57" s="57">
        <f>+'KTR-Ausweis Gesamtansicht'!BF57</f>
        <v>0</v>
      </c>
      <c r="BB57" s="57">
        <f>+'KTR-Ausweis Gesamtansicht'!BS57</f>
        <v>0</v>
      </c>
      <c r="BJ57" s="57">
        <f>+'KTR-Ausweis Gesamtansicht'!BT57</f>
        <v>0</v>
      </c>
      <c r="BK57" s="57">
        <f>+'KTR-Ausweis Gesamtansicht'!BU57</f>
        <v>0</v>
      </c>
      <c r="BL57" s="57">
        <f>+'KTR-Ausweis Gesamtansicht'!BV57</f>
        <v>0</v>
      </c>
      <c r="BM57" s="57">
        <f>+'KTR-Ausweis Gesamtansicht'!BW57</f>
        <v>0</v>
      </c>
      <c r="BN57" s="57">
        <f>+'KTR-Ausweis Gesamtansicht'!CE57</f>
        <v>0</v>
      </c>
      <c r="BO57" s="57">
        <f>+'KTR-Ausweis Gesamtansicht'!CF57</f>
        <v>0</v>
      </c>
      <c r="BP57" s="57">
        <f>+'KTR-Ausweis Gesamtansicht'!CG57</f>
        <v>0</v>
      </c>
      <c r="BQ57" s="57">
        <f>+'KTR-Ausweis Gesamtansicht'!CH57</f>
        <v>0</v>
      </c>
    </row>
    <row r="58" spans="1:69" s="55" customFormat="1" ht="12">
      <c r="A58" s="218">
        <f>+'KTR-Ausweis Gesamtansicht'!A58</f>
        <v>36</v>
      </c>
      <c r="B58" s="142" t="str">
        <f>+'KTR-Ausweis Gesamtansicht'!B58</f>
        <v>Medizinische und therapeutische Diagnostik</v>
      </c>
      <c r="C58" s="33" t="str">
        <f>+'KTR-Ausweis Gesamtansicht'!C58</f>
        <v>TP und Min.</v>
      </c>
      <c r="M58" s="57">
        <f>+'KTR-Ausweis Gesamtansicht'!R58</f>
        <v>0</v>
      </c>
      <c r="AO58" s="57">
        <f>+'KTR-Ausweis Gesamtansicht'!BF58</f>
        <v>0</v>
      </c>
      <c r="BB58" s="57">
        <f>+'KTR-Ausweis Gesamtansicht'!BS58</f>
        <v>0</v>
      </c>
      <c r="BJ58" s="57">
        <f>+'KTR-Ausweis Gesamtansicht'!BT58</f>
        <v>0</v>
      </c>
      <c r="BK58" s="57">
        <f>+'KTR-Ausweis Gesamtansicht'!BU58</f>
        <v>0</v>
      </c>
      <c r="BL58" s="57">
        <f>+'KTR-Ausweis Gesamtansicht'!BV58</f>
        <v>0</v>
      </c>
      <c r="BM58" s="57">
        <f>+'KTR-Ausweis Gesamtansicht'!BW58</f>
        <v>0</v>
      </c>
      <c r="BN58" s="57">
        <f>+'KTR-Ausweis Gesamtansicht'!CE58</f>
        <v>0</v>
      </c>
      <c r="BO58" s="57">
        <f>+'KTR-Ausweis Gesamtansicht'!CF58</f>
        <v>0</v>
      </c>
      <c r="BP58" s="57">
        <f>+'KTR-Ausweis Gesamtansicht'!CG58</f>
        <v>0</v>
      </c>
      <c r="BQ58" s="57">
        <f>+'KTR-Ausweis Gesamtansicht'!CH58</f>
        <v>0</v>
      </c>
    </row>
    <row r="59" spans="1:69" s="55" customFormat="1" ht="12">
      <c r="A59" s="218">
        <f>+'KTR-Ausweis Gesamtansicht'!A59</f>
        <v>39</v>
      </c>
      <c r="B59" s="142" t="str">
        <f>+'KTR-Ausweis Gesamtansicht'!B59</f>
        <v>Pflege</v>
      </c>
      <c r="C59" s="33" t="str">
        <f>+'KTR-Ausweis Gesamtansicht'!C59</f>
        <v>Min.</v>
      </c>
      <c r="M59" s="57">
        <f>+'KTR-Ausweis Gesamtansicht'!R59</f>
        <v>0</v>
      </c>
      <c r="AO59" s="57">
        <f>+'KTR-Ausweis Gesamtansicht'!BF59</f>
        <v>0</v>
      </c>
      <c r="BB59" s="57">
        <f>+'KTR-Ausweis Gesamtansicht'!BS59</f>
        <v>0</v>
      </c>
      <c r="BJ59" s="57">
        <f>+'KTR-Ausweis Gesamtansicht'!BT59</f>
        <v>0</v>
      </c>
      <c r="BK59" s="57">
        <f>+'KTR-Ausweis Gesamtansicht'!BU59</f>
        <v>0</v>
      </c>
      <c r="BL59" s="57">
        <f>+'KTR-Ausweis Gesamtansicht'!BV59</f>
        <v>0</v>
      </c>
      <c r="BM59" s="57">
        <f>+'KTR-Ausweis Gesamtansicht'!BW59</f>
        <v>0</v>
      </c>
      <c r="BN59" s="57">
        <f>+'KTR-Ausweis Gesamtansicht'!CE59</f>
        <v>0</v>
      </c>
      <c r="BO59" s="57">
        <f>+'KTR-Ausweis Gesamtansicht'!CF59</f>
        <v>0</v>
      </c>
      <c r="BP59" s="57">
        <f>+'KTR-Ausweis Gesamtansicht'!CG59</f>
        <v>0</v>
      </c>
      <c r="BQ59" s="57">
        <f>+'KTR-Ausweis Gesamtansicht'!CH59</f>
        <v>0</v>
      </c>
    </row>
    <row r="60" spans="1:69" s="55" customFormat="1" ht="12">
      <c r="A60" s="218">
        <f>+'KTR-Ausweis Gesamtansicht'!A60</f>
        <v>41</v>
      </c>
      <c r="B60" s="142" t="str">
        <f>+'KTR-Ausweis Gesamtansicht'!B60</f>
        <v>Hotellerie-Zimmer</v>
      </c>
      <c r="C60" s="33" t="str">
        <f>+'KTR-Ausweis Gesamtansicht'!C60</f>
        <v>Pflegetag  gewichtet</v>
      </c>
      <c r="M60" s="57">
        <f>+'KTR-Ausweis Gesamtansicht'!R60</f>
        <v>0</v>
      </c>
      <c r="AO60" s="57">
        <f>+'KTR-Ausweis Gesamtansicht'!BF60</f>
        <v>0</v>
      </c>
      <c r="BB60" s="57">
        <f>+'KTR-Ausweis Gesamtansicht'!BS60</f>
        <v>0</v>
      </c>
      <c r="BJ60" s="57">
        <f>+'KTR-Ausweis Gesamtansicht'!BT60</f>
        <v>0</v>
      </c>
      <c r="BK60" s="57">
        <f>+'KTR-Ausweis Gesamtansicht'!BU60</f>
        <v>0</v>
      </c>
      <c r="BL60" s="57">
        <f>+'KTR-Ausweis Gesamtansicht'!BV60</f>
        <v>0</v>
      </c>
      <c r="BM60" s="57">
        <f>+'KTR-Ausweis Gesamtansicht'!BW60</f>
        <v>0</v>
      </c>
      <c r="BN60" s="57">
        <f>+'KTR-Ausweis Gesamtansicht'!CE60</f>
        <v>0</v>
      </c>
      <c r="BO60" s="57">
        <f>+'KTR-Ausweis Gesamtansicht'!CF60</f>
        <v>0</v>
      </c>
      <c r="BP60" s="57">
        <f>+'KTR-Ausweis Gesamtansicht'!CG60</f>
        <v>0</v>
      </c>
      <c r="BQ60" s="57">
        <f>+'KTR-Ausweis Gesamtansicht'!CH60</f>
        <v>0</v>
      </c>
    </row>
    <row r="61" spans="1:69" s="55" customFormat="1" ht="12">
      <c r="A61" s="218">
        <f>+'KTR-Ausweis Gesamtansicht'!A61</f>
        <v>42</v>
      </c>
      <c r="B61" s="142" t="str">
        <f>+'KTR-Ausweis Gesamtansicht'!B61</f>
        <v>Hotellerie-Küche</v>
      </c>
      <c r="C61" s="33" t="str">
        <f>+'KTR-Ausweis Gesamtansicht'!C61</f>
        <v>PT und Mahlzeit</v>
      </c>
      <c r="M61" s="57">
        <f>+'KTR-Ausweis Gesamtansicht'!R61</f>
        <v>0</v>
      </c>
      <c r="AO61" s="57">
        <f>+'KTR-Ausweis Gesamtansicht'!BF61</f>
        <v>0</v>
      </c>
      <c r="BB61" s="57">
        <f>+'KTR-Ausweis Gesamtansicht'!BS61</f>
        <v>0</v>
      </c>
      <c r="BJ61" s="57">
        <f>+'KTR-Ausweis Gesamtansicht'!BT61</f>
        <v>0</v>
      </c>
      <c r="BK61" s="57">
        <f>+'KTR-Ausweis Gesamtansicht'!BU61</f>
        <v>0</v>
      </c>
      <c r="BL61" s="57">
        <f>+'KTR-Ausweis Gesamtansicht'!BV61</f>
        <v>0</v>
      </c>
      <c r="BM61" s="57">
        <f>+'KTR-Ausweis Gesamtansicht'!BW61</f>
        <v>0</v>
      </c>
      <c r="BN61" s="57">
        <f>+'KTR-Ausweis Gesamtansicht'!CE61</f>
        <v>0</v>
      </c>
      <c r="BO61" s="57">
        <f>+'KTR-Ausweis Gesamtansicht'!CF61</f>
        <v>0</v>
      </c>
      <c r="BP61" s="57">
        <f>+'KTR-Ausweis Gesamtansicht'!CG61</f>
        <v>0</v>
      </c>
      <c r="BQ61" s="57">
        <f>+'KTR-Ausweis Gesamtansicht'!CH61</f>
        <v>0</v>
      </c>
    </row>
    <row r="62" spans="1:69" s="55" customFormat="1" ht="12">
      <c r="A62" s="218">
        <f>+'KTR-Ausweis Gesamtansicht'!A62</f>
        <v>43</v>
      </c>
      <c r="B62" s="142" t="str">
        <f>+'KTR-Ausweis Gesamtansicht'!B62</f>
        <v>Hotellerie-Service</v>
      </c>
      <c r="C62" s="33" t="str">
        <f>+'KTR-Ausweis Gesamtansicht'!C62</f>
        <v>PT</v>
      </c>
      <c r="M62" s="57">
        <f>+'KTR-Ausweis Gesamtansicht'!R62</f>
        <v>0</v>
      </c>
      <c r="AO62" s="57">
        <f>+'KTR-Ausweis Gesamtansicht'!BF62</f>
        <v>0</v>
      </c>
      <c r="BB62" s="57">
        <f>+'KTR-Ausweis Gesamtansicht'!BS62</f>
        <v>0</v>
      </c>
      <c r="BJ62" s="57">
        <f>+'KTR-Ausweis Gesamtansicht'!BT62</f>
        <v>0</v>
      </c>
      <c r="BK62" s="57">
        <f>+'KTR-Ausweis Gesamtansicht'!BU62</f>
        <v>0</v>
      </c>
      <c r="BL62" s="57">
        <f>+'KTR-Ausweis Gesamtansicht'!BV62</f>
        <v>0</v>
      </c>
      <c r="BM62" s="57">
        <f>+'KTR-Ausweis Gesamtansicht'!BW62</f>
        <v>0</v>
      </c>
      <c r="BN62" s="57">
        <f>+'KTR-Ausweis Gesamtansicht'!CE62</f>
        <v>0</v>
      </c>
      <c r="BO62" s="57">
        <f>+'KTR-Ausweis Gesamtansicht'!CF62</f>
        <v>0</v>
      </c>
      <c r="BP62" s="57">
        <f>+'KTR-Ausweis Gesamtansicht'!CG62</f>
        <v>0</v>
      </c>
      <c r="BQ62" s="57">
        <f>+'KTR-Ausweis Gesamtansicht'!CH62</f>
        <v>0</v>
      </c>
    </row>
    <row r="63" spans="1:69" s="55" customFormat="1" ht="12">
      <c r="A63" s="218">
        <f>+'KTR-Ausweis Gesamtansicht'!A63</f>
        <v>44</v>
      </c>
      <c r="B63" s="142" t="str">
        <f>+'KTR-Ausweis Gesamtansicht'!B63</f>
        <v>Übrige Leistungserbringer</v>
      </c>
      <c r="C63" s="33" t="str">
        <f>+'KTR-Ausweis Gesamtansicht'!C63</f>
        <v>PT</v>
      </c>
      <c r="M63" s="57">
        <f>+'KTR-Ausweis Gesamtansicht'!R63</f>
        <v>0</v>
      </c>
      <c r="AO63" s="57">
        <f>+'KTR-Ausweis Gesamtansicht'!BF63</f>
        <v>0</v>
      </c>
      <c r="BB63" s="57">
        <f>+'KTR-Ausweis Gesamtansicht'!BS63</f>
        <v>0</v>
      </c>
      <c r="BJ63" s="57">
        <f>+'KTR-Ausweis Gesamtansicht'!BT63</f>
        <v>0</v>
      </c>
      <c r="BK63" s="57">
        <f>+'KTR-Ausweis Gesamtansicht'!BU63</f>
        <v>0</v>
      </c>
      <c r="BL63" s="57">
        <f>+'KTR-Ausweis Gesamtansicht'!BV63</f>
        <v>0</v>
      </c>
      <c r="BM63" s="57">
        <f>+'KTR-Ausweis Gesamtansicht'!BW63</f>
        <v>0</v>
      </c>
      <c r="BN63" s="57">
        <f>+'KTR-Ausweis Gesamtansicht'!CE63</f>
        <v>0</v>
      </c>
      <c r="BO63" s="57">
        <f>+'KTR-Ausweis Gesamtansicht'!CF63</f>
        <v>0</v>
      </c>
      <c r="BP63" s="57">
        <f>+'KTR-Ausweis Gesamtansicht'!CG63</f>
        <v>0</v>
      </c>
      <c r="BQ63" s="57">
        <f>+'KTR-Ausweis Gesamtansicht'!CH63</f>
        <v>0</v>
      </c>
    </row>
    <row r="64" spans="1:69" s="55" customFormat="1" ht="12">
      <c r="A64" s="218">
        <f>+'KTR-Ausweis Gesamtansicht'!A64</f>
        <v>45</v>
      </c>
      <c r="B64" s="223" t="str">
        <f>+'KTR-Ausweis Gesamtansicht'!B64</f>
        <v>Pathologie (inkl. Ärzteschaft)</v>
      </c>
      <c r="C64" s="33" t="str">
        <f>+'KTR-Ausweis Gesamtansicht'!C64</f>
        <v>TP und Min.</v>
      </c>
      <c r="M64" s="57">
        <f>+'KTR-Ausweis Gesamtansicht'!R64</f>
        <v>0</v>
      </c>
      <c r="AO64" s="57">
        <f>+'KTR-Ausweis Gesamtansicht'!BF64</f>
        <v>0</v>
      </c>
      <c r="BB64" s="57">
        <f>+'KTR-Ausweis Gesamtansicht'!BS64</f>
        <v>0</v>
      </c>
      <c r="BJ64" s="57">
        <f>+'KTR-Ausweis Gesamtansicht'!BT64</f>
        <v>0</v>
      </c>
      <c r="BK64" s="57">
        <f>+'KTR-Ausweis Gesamtansicht'!BU64</f>
        <v>0</v>
      </c>
      <c r="BL64" s="57">
        <f>+'KTR-Ausweis Gesamtansicht'!BV64</f>
        <v>0</v>
      </c>
      <c r="BM64" s="57">
        <f>+'KTR-Ausweis Gesamtansicht'!BW64</f>
        <v>0</v>
      </c>
      <c r="BN64" s="57">
        <f>+'KTR-Ausweis Gesamtansicht'!CE64</f>
        <v>0</v>
      </c>
      <c r="BO64" s="57">
        <f>+'KTR-Ausweis Gesamtansicht'!CF64</f>
        <v>0</v>
      </c>
      <c r="BP64" s="57">
        <f>+'KTR-Ausweis Gesamtansicht'!CG64</f>
        <v>0</v>
      </c>
      <c r="BQ64" s="57">
        <f>+'KTR-Ausweis Gesamtansicht'!CH64</f>
        <v>0</v>
      </c>
    </row>
    <row r="65" spans="1:69" s="55" customFormat="1" ht="12">
      <c r="A65" s="218">
        <f>+'KTR-Ausweis Gesamtansicht'!A65</f>
        <v>47</v>
      </c>
      <c r="B65" s="223" t="str">
        <f>+'KTR-Ausweis Gesamtansicht'!B65</f>
        <v>Forschung und universitäre Lehre (nur bezogen auf Aufträge der Forschung und universitären Lehre)</v>
      </c>
      <c r="C65" s="33" t="str">
        <f>+'KTR-Ausweis Gesamtansicht'!C65</f>
        <v>% der Besoldungen</v>
      </c>
      <c r="M65" s="57">
        <f>+'KTR-Ausweis Gesamtansicht'!R65</f>
        <v>0</v>
      </c>
      <c r="AO65" s="57">
        <f>+'KTR-Ausweis Gesamtansicht'!BF65</f>
        <v>0</v>
      </c>
      <c r="BB65" s="57">
        <f>+'KTR-Ausweis Gesamtansicht'!BS65</f>
        <v>0</v>
      </c>
      <c r="BJ65" s="57">
        <f>+'KTR-Ausweis Gesamtansicht'!BT65</f>
        <v>0</v>
      </c>
      <c r="BK65" s="57">
        <f>+'KTR-Ausweis Gesamtansicht'!BU65</f>
        <v>0</v>
      </c>
      <c r="BL65" s="57">
        <f>+'KTR-Ausweis Gesamtansicht'!BV65</f>
        <v>0</v>
      </c>
      <c r="BM65" s="57">
        <f>+'KTR-Ausweis Gesamtansicht'!BW65</f>
        <v>0</v>
      </c>
      <c r="BN65" s="57">
        <f>+'KTR-Ausweis Gesamtansicht'!CE65</f>
        <v>0</v>
      </c>
      <c r="BO65" s="57">
        <f>+'KTR-Ausweis Gesamtansicht'!CF65</f>
        <v>0</v>
      </c>
      <c r="BP65" s="57">
        <f>+'KTR-Ausweis Gesamtansicht'!CG65</f>
        <v>0</v>
      </c>
      <c r="BQ65" s="57">
        <f>+'KTR-Ausweis Gesamtansicht'!CH65</f>
        <v>0</v>
      </c>
    </row>
    <row r="66" spans="1:69" s="55" customFormat="1" ht="12">
      <c r="A66" s="218">
        <f>+'KTR-Ausweis Gesamtansicht'!A66</f>
        <v>77</v>
      </c>
      <c r="B66" s="223" t="str">
        <f>+'KTR-Ausweis Gesamtansicht'!B66</f>
        <v>Rettungs- bzw. Ambulanzdienst (nur Sekundärtransporte)</v>
      </c>
      <c r="C66" s="33" t="str">
        <f>+'KTR-Ausweis Gesamtansicht'!C66</f>
        <v>CHF-Betrag</v>
      </c>
      <c r="M66" s="57">
        <f>+'KTR-Ausweis Gesamtansicht'!R66</f>
        <v>0</v>
      </c>
      <c r="AO66" s="57">
        <f>+'KTR-Ausweis Gesamtansicht'!BF66</f>
        <v>0</v>
      </c>
      <c r="BB66" s="57">
        <f>+'KTR-Ausweis Gesamtansicht'!BS66</f>
        <v>0</v>
      </c>
      <c r="BJ66" s="57">
        <f>+'KTR-Ausweis Gesamtansicht'!BT66</f>
        <v>0</v>
      </c>
      <c r="BK66" s="57">
        <f>+'KTR-Ausweis Gesamtansicht'!BU66</f>
        <v>0</v>
      </c>
      <c r="BL66" s="57">
        <f>+'KTR-Ausweis Gesamtansicht'!BV66</f>
        <v>0</v>
      </c>
      <c r="BM66" s="57">
        <f>+'KTR-Ausweis Gesamtansicht'!BW66</f>
        <v>0</v>
      </c>
      <c r="BN66" s="57">
        <f>+'KTR-Ausweis Gesamtansicht'!CE66</f>
        <v>0</v>
      </c>
      <c r="BO66" s="57">
        <f>+'KTR-Ausweis Gesamtansicht'!CF66</f>
        <v>0</v>
      </c>
      <c r="BP66" s="57">
        <f>+'KTR-Ausweis Gesamtansicht'!CG66</f>
        <v>0</v>
      </c>
      <c r="BQ66" s="57">
        <f>+'KTR-Ausweis Gesamtansicht'!CH66</f>
        <v>0</v>
      </c>
    </row>
    <row r="67" spans="1:69" s="55" customFormat="1" ht="12">
      <c r="A67" s="218"/>
      <c r="B67" s="223" t="str">
        <f>+'KTR-Ausweis Gesamtansicht'!B67</f>
        <v>Nicht patientenbezogene Kosten (können ganze Kst sein)</v>
      </c>
      <c r="C67" s="33" t="str">
        <f>+'KTR-Ausweis Gesamtansicht'!C67</f>
        <v>CHF-Betrag</v>
      </c>
      <c r="M67" s="57">
        <f>+'KTR-Ausweis Gesamtansicht'!R67</f>
        <v>0</v>
      </c>
      <c r="AO67" s="57">
        <f>+'KTR-Ausweis Gesamtansicht'!BF67</f>
        <v>0</v>
      </c>
      <c r="BB67" s="57">
        <f>+'KTR-Ausweis Gesamtansicht'!BS67</f>
        <v>0</v>
      </c>
      <c r="BJ67" s="57">
        <f>+'KTR-Ausweis Gesamtansicht'!BT67</f>
        <v>0</v>
      </c>
      <c r="BK67" s="57">
        <f>+'KTR-Ausweis Gesamtansicht'!BU67</f>
        <v>0</v>
      </c>
      <c r="BL67" s="57">
        <f>+'KTR-Ausweis Gesamtansicht'!BV67</f>
        <v>0</v>
      </c>
      <c r="BM67" s="57">
        <f>+'KTR-Ausweis Gesamtansicht'!BW67</f>
        <v>0</v>
      </c>
      <c r="BN67" s="57">
        <f>+'KTR-Ausweis Gesamtansicht'!CE67</f>
        <v>0</v>
      </c>
      <c r="BO67" s="57">
        <f>+'KTR-Ausweis Gesamtansicht'!CF67</f>
        <v>0</v>
      </c>
      <c r="BP67" s="57">
        <f>+'KTR-Ausweis Gesamtansicht'!CG67</f>
        <v>0</v>
      </c>
      <c r="BQ67" s="57">
        <f>+'KTR-Ausweis Gesamtansicht'!CH67</f>
        <v>0</v>
      </c>
    </row>
    <row r="68" spans="1:69" s="60" customFormat="1" ht="12">
      <c r="A68" s="53" t="str">
        <f>+'KTR-Ausweis Gesamtansicht'!A68</f>
        <v>Total Gemeinkosten (exkl. Anlagenutzungskosten des Kostenblocks A')</v>
      </c>
      <c r="B68" s="79"/>
      <c r="C68" s="80"/>
      <c r="M68" s="59">
        <f>+'KTR-Ausweis Gesamtansicht'!R68</f>
        <v>0</v>
      </c>
      <c r="AO68" s="59">
        <f>+'KTR-Ausweis Gesamtansicht'!BF68</f>
        <v>0</v>
      </c>
      <c r="BB68" s="59">
        <f>+'KTR-Ausweis Gesamtansicht'!BS68</f>
        <v>0</v>
      </c>
      <c r="BJ68" s="59">
        <f>+'KTR-Ausweis Gesamtansicht'!BT68</f>
        <v>0</v>
      </c>
      <c r="BK68" s="59">
        <f>+'KTR-Ausweis Gesamtansicht'!BU68</f>
        <v>0</v>
      </c>
      <c r="BL68" s="59">
        <f>+'KTR-Ausweis Gesamtansicht'!BV68</f>
        <v>0</v>
      </c>
      <c r="BM68" s="59">
        <f>+'KTR-Ausweis Gesamtansicht'!BW68</f>
        <v>0</v>
      </c>
      <c r="BN68" s="59">
        <f>+'KTR-Ausweis Gesamtansicht'!CE68</f>
        <v>0</v>
      </c>
      <c r="BO68" s="59">
        <f>+'KTR-Ausweis Gesamtansicht'!CF68</f>
        <v>0</v>
      </c>
      <c r="BP68" s="59">
        <f>+'KTR-Ausweis Gesamtansicht'!CG68</f>
        <v>0</v>
      </c>
      <c r="BQ68" s="59">
        <f>+'KTR-Ausweis Gesamtansicht'!CH68</f>
        <v>0</v>
      </c>
    </row>
    <row r="69" spans="1:69" s="55" customFormat="1" ht="12">
      <c r="A69" s="52" t="str">
        <f>+'KTR-Ausweis Gesamtansicht'!A69</f>
        <v>Summe der verrechneten Anlagenutzungskosten nach</v>
      </c>
      <c r="B69" s="52"/>
      <c r="C69" s="52" t="str">
        <f>+'KTR-Ausweis Gesamtansicht'!C69</f>
        <v>REKOLE</v>
      </c>
      <c r="M69" s="57">
        <f>+'KTR-Ausweis Gesamtansicht'!R69</f>
        <v>0</v>
      </c>
      <c r="AO69" s="57">
        <f>+'KTR-Ausweis Gesamtansicht'!BF69</f>
        <v>0</v>
      </c>
      <c r="BB69" s="57">
        <f>+'KTR-Ausweis Gesamtansicht'!BS69</f>
        <v>0</v>
      </c>
      <c r="BJ69" s="57">
        <f>+'KTR-Ausweis Gesamtansicht'!BT69</f>
        <v>0</v>
      </c>
      <c r="BK69" s="57">
        <f>+'KTR-Ausweis Gesamtansicht'!BU69</f>
        <v>0</v>
      </c>
      <c r="BL69" s="57">
        <f>+'KTR-Ausweis Gesamtansicht'!BV69</f>
        <v>0</v>
      </c>
      <c r="BM69" s="57">
        <f>+'KTR-Ausweis Gesamtansicht'!BW69</f>
        <v>0</v>
      </c>
      <c r="BN69" s="57">
        <f>+'KTR-Ausweis Gesamtansicht'!CE69</f>
        <v>0</v>
      </c>
      <c r="BO69" s="57">
        <f>+'KTR-Ausweis Gesamtansicht'!CF69</f>
        <v>0</v>
      </c>
      <c r="BP69" s="57">
        <f>+'KTR-Ausweis Gesamtansicht'!CG69</f>
        <v>0</v>
      </c>
      <c r="BQ69" s="57">
        <f>+'KTR-Ausweis Gesamtansicht'!CH69</f>
        <v>0</v>
      </c>
    </row>
    <row r="70" spans="1:69" s="55" customFormat="1" ht="12">
      <c r="A70" s="52" t="str">
        <f>+'KTR-Ausweis Gesamtansicht'!A70</f>
        <v>Total ILV (inkl. Anlagenutzung)</v>
      </c>
      <c r="B70" s="46"/>
      <c r="C70" s="39"/>
      <c r="M70" s="57">
        <f>+'KTR-Ausweis Gesamtansicht'!R70</f>
        <v>0</v>
      </c>
      <c r="AO70" s="57">
        <f>+'KTR-Ausweis Gesamtansicht'!BF70</f>
        <v>0</v>
      </c>
      <c r="BB70" s="57">
        <f>+'KTR-Ausweis Gesamtansicht'!BS70</f>
        <v>0</v>
      </c>
      <c r="BJ70" s="57">
        <f>+'KTR-Ausweis Gesamtansicht'!BT70</f>
        <v>0</v>
      </c>
      <c r="BK70" s="57">
        <f>+'KTR-Ausweis Gesamtansicht'!BU70</f>
        <v>0</v>
      </c>
      <c r="BL70" s="57">
        <f>+'KTR-Ausweis Gesamtansicht'!BV70</f>
        <v>0</v>
      </c>
      <c r="BM70" s="57">
        <f>+'KTR-Ausweis Gesamtansicht'!BW70</f>
        <v>0</v>
      </c>
      <c r="BN70" s="57">
        <f>+'KTR-Ausweis Gesamtansicht'!CE70</f>
        <v>0</v>
      </c>
      <c r="BO70" s="57">
        <f>+'KTR-Ausweis Gesamtansicht'!CF70</f>
        <v>0</v>
      </c>
      <c r="BP70" s="57">
        <f>+'KTR-Ausweis Gesamtansicht'!CG70</f>
        <v>0</v>
      </c>
      <c r="BQ70" s="57">
        <f>+'KTR-Ausweis Gesamtansicht'!CH70</f>
        <v>0</v>
      </c>
    </row>
    <row r="71" spans="1:69" s="64" customFormat="1" ht="15">
      <c r="A71" s="61" t="str">
        <f>+'KTR-Ausweis Gesamtansicht'!A71</f>
        <v>Total Kosten (Einzel- und Gemeinkosten)</v>
      </c>
      <c r="B71" s="62"/>
      <c r="C71" s="39"/>
      <c r="M71" s="63">
        <f>+'KTR-Ausweis Gesamtansicht'!R71</f>
        <v>0</v>
      </c>
      <c r="AO71" s="63">
        <f>+'KTR-Ausweis Gesamtansicht'!BF71</f>
        <v>0</v>
      </c>
      <c r="BB71" s="63">
        <f>+'KTR-Ausweis Gesamtansicht'!BS71</f>
        <v>0</v>
      </c>
      <c r="BJ71" s="63">
        <f>+'KTR-Ausweis Gesamtansicht'!BT71</f>
        <v>0</v>
      </c>
      <c r="BK71" s="63">
        <f>+'KTR-Ausweis Gesamtansicht'!BU71</f>
        <v>0</v>
      </c>
      <c r="BL71" s="63">
        <f>+'KTR-Ausweis Gesamtansicht'!BV71</f>
        <v>0</v>
      </c>
      <c r="BM71" s="63">
        <f>+'KTR-Ausweis Gesamtansicht'!BW71</f>
        <v>0</v>
      </c>
      <c r="BN71" s="63">
        <f>+'KTR-Ausweis Gesamtansicht'!CE71</f>
        <v>0</v>
      </c>
      <c r="BO71" s="63">
        <f>+'KTR-Ausweis Gesamtansicht'!CF71</f>
        <v>0</v>
      </c>
      <c r="BP71" s="63">
        <f>+'KTR-Ausweis Gesamtansicht'!CG71</f>
        <v>0</v>
      </c>
      <c r="BQ71" s="63">
        <f>+'KTR-Ausweis Gesamtansicht'!CH71</f>
        <v>0</v>
      </c>
    </row>
    <row r="72" spans="1:69" s="55" customFormat="1" ht="12">
      <c r="A72" s="210" t="str">
        <f>+'KTR-Ausweis Gesamtansicht'!A72</f>
        <v>Total Kosten (Einzel- und Gemeinkosten) ohne Anlagenutzung</v>
      </c>
      <c r="B72" s="46"/>
      <c r="C72" s="211"/>
      <c r="M72" s="57">
        <f>+'KTR-Ausweis Gesamtansicht'!R72</f>
        <v>0</v>
      </c>
      <c r="AO72" s="57">
        <f>+'KTR-Ausweis Gesamtansicht'!BF72</f>
        <v>0</v>
      </c>
      <c r="BB72" s="57">
        <f>+'KTR-Ausweis Gesamtansicht'!BS72</f>
        <v>0</v>
      </c>
      <c r="BJ72" s="57">
        <f>+'KTR-Ausweis Gesamtansicht'!BT72</f>
        <v>0</v>
      </c>
      <c r="BK72" s="57">
        <f>+'KTR-Ausweis Gesamtansicht'!BU72</f>
        <v>0</v>
      </c>
      <c r="BL72" s="57">
        <f>+'KTR-Ausweis Gesamtansicht'!BV72</f>
        <v>0</v>
      </c>
      <c r="BM72" s="57">
        <f>+'KTR-Ausweis Gesamtansicht'!BW72</f>
        <v>0</v>
      </c>
      <c r="BN72" s="57">
        <f>+'KTR-Ausweis Gesamtansicht'!CE72</f>
        <v>0</v>
      </c>
      <c r="BO72" s="57">
        <f>+'KTR-Ausweis Gesamtansicht'!CF72</f>
        <v>0</v>
      </c>
      <c r="BP72" s="57">
        <f>+'KTR-Ausweis Gesamtansicht'!CG72</f>
        <v>0</v>
      </c>
      <c r="BQ72" s="57">
        <f>+'KTR-Ausweis Gesamtansicht'!CH72</f>
        <v>0</v>
      </c>
    </row>
    <row r="73" spans="1:69" s="81" customFormat="1" ht="15">
      <c r="A73" s="61" t="str">
        <f>+'KTR-Ausweis Gesamtansicht'!A73</f>
        <v>Ergebnis (+ = Gewinn / - = Verlust)</v>
      </c>
      <c r="B73" s="82"/>
      <c r="C73" s="83"/>
      <c r="M73" s="90"/>
      <c r="AO73" s="90"/>
      <c r="BB73" s="90"/>
      <c r="BJ73" s="90"/>
      <c r="BK73" s="90"/>
      <c r="BL73" s="90"/>
      <c r="BM73" s="90"/>
      <c r="BN73" s="90"/>
      <c r="BO73" s="90"/>
      <c r="BP73" s="90"/>
      <c r="BQ73" s="90"/>
    </row>
  </sheetData>
  <sheetProtection formatCells="0" formatColumns="0" formatRows="0"/>
  <mergeCells count="3">
    <mergeCell ref="C25:C27"/>
    <mergeCell ref="C29:C30"/>
    <mergeCell ref="C32:C33"/>
  </mergeCells>
  <pageMargins left="0.43307086614173229" right="0.35433070866141736" top="0.47244094488188981" bottom="0.31496062992125984" header="0.31496062992125984" footer="0.15748031496062992"/>
  <pageSetup paperSize="9" scale="14" fitToHeight="2" orientation="landscape" r:id="rId1"/>
  <headerFooter>
    <oddFooter>&amp;C&amp;8&amp;P / &amp;N&amp;R&amp;8&amp;D/&amp;F/&amp;A/thr</oddFooter>
  </headerFooter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1">
    <tabColor rgb="FFFF0000"/>
    <pageSetUpPr fitToPage="1"/>
  </sheetPr>
  <dimension ref="A1:CY103"/>
  <sheetViews>
    <sheetView showGridLines="0" zoomScale="110" zoomScaleNormal="110" zoomScalePageLayoutView="3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D6" sqref="D6"/>
    </sheetView>
  </sheetViews>
  <sheetFormatPr baseColWidth="10" defaultColWidth="11.42578125" defaultRowHeight="12.75" outlineLevelCol="1"/>
  <cols>
    <col min="1" max="1" width="8.140625" style="10" bestFit="1" customWidth="1"/>
    <col min="2" max="2" width="42.85546875" style="10" customWidth="1"/>
    <col min="3" max="5" width="21.42578125" style="10" customWidth="1"/>
    <col min="6" max="7" width="14.7109375" style="10" customWidth="1"/>
    <col min="8" max="8" width="15.7109375" style="10" bestFit="1" customWidth="1"/>
    <col min="9" max="11" width="14.7109375" style="75" customWidth="1" outlineLevel="1"/>
    <col min="12" max="15" width="14.7109375" style="76" customWidth="1" outlineLevel="1"/>
    <col min="16" max="17" width="14.7109375" style="75" customWidth="1" outlineLevel="1"/>
    <col min="18" max="18" width="14.7109375" style="76" customWidth="1"/>
    <col min="19" max="20" width="14.7109375" style="75" customWidth="1" outlineLevel="1"/>
    <col min="21" max="22" width="14.7109375" style="76" customWidth="1" outlineLevel="1"/>
    <col min="23" max="24" width="14.7109375" style="75" customWidth="1" outlineLevel="1"/>
    <col min="25" max="26" width="14.7109375" style="76" customWidth="1" outlineLevel="1"/>
    <col min="27" max="28" width="14.7109375" style="75" customWidth="1" outlineLevel="1"/>
    <col min="29" max="30" width="14.7109375" style="76" customWidth="1" outlineLevel="1"/>
    <col min="31" max="32" width="14.7109375" style="75" customWidth="1" outlineLevel="1"/>
    <col min="33" max="34" width="14.7109375" style="76" customWidth="1" outlineLevel="1"/>
    <col min="35" max="36" width="14.7109375" style="75" customWidth="1" outlineLevel="1"/>
    <col min="37" max="38" width="14.7109375" style="76" customWidth="1" outlineLevel="1"/>
    <col min="39" max="40" width="14.7109375" style="75" customWidth="1" outlineLevel="1"/>
    <col min="41" max="55" width="14.7109375" style="76" customWidth="1" outlineLevel="1"/>
    <col min="56" max="57" width="14.7109375" style="75" customWidth="1" outlineLevel="1"/>
    <col min="58" max="58" width="14.7109375" style="75" customWidth="1"/>
    <col min="59" max="60" width="14.7109375" style="75" customWidth="1" outlineLevel="1"/>
    <col min="61" max="63" width="14.7109375" style="76" customWidth="1" outlineLevel="1"/>
    <col min="64" max="65" width="14.7109375" style="75" customWidth="1" outlineLevel="1"/>
    <col min="66" max="68" width="14.7109375" style="76" customWidth="1" outlineLevel="1"/>
    <col min="69" max="69" width="14.7109375" style="75" customWidth="1" outlineLevel="1"/>
    <col min="70" max="70" width="14.7109375" style="76" customWidth="1" outlineLevel="1"/>
    <col min="71" max="75" width="14.7109375" style="75" customWidth="1"/>
    <col min="76" max="80" width="14.7109375" style="76" customWidth="1" outlineLevel="1"/>
    <col min="81" max="81" width="17.42578125" style="76" customWidth="1" outlineLevel="1"/>
    <col min="82" max="82" width="14.7109375" style="76" customWidth="1" outlineLevel="1"/>
    <col min="83" max="83" width="14.7109375" style="76" customWidth="1"/>
    <col min="84" max="86" width="14.7109375" style="75" customWidth="1"/>
    <col min="87" max="87" width="18.140625" style="75" customWidth="1"/>
    <col min="88" max="88" width="16.5703125" style="75" customWidth="1"/>
    <col min="89" max="97" width="14.7109375" style="75" customWidth="1"/>
    <col min="98" max="99" width="14.7109375" style="243" customWidth="1"/>
    <col min="100" max="100" width="14.7109375" style="10" customWidth="1"/>
    <col min="101" max="101" width="2.28515625" style="10" bestFit="1" customWidth="1"/>
    <col min="102" max="102" width="12.42578125" style="10" bestFit="1" customWidth="1"/>
    <col min="103" max="16384" width="11.42578125" style="10"/>
  </cols>
  <sheetData>
    <row r="1" spans="1:103" ht="26.25">
      <c r="A1" s="147"/>
      <c r="B1" s="147"/>
      <c r="C1" s="619" t="s">
        <v>1388</v>
      </c>
      <c r="D1" s="559"/>
      <c r="E1" s="559"/>
      <c r="F1" s="8"/>
      <c r="G1" s="8"/>
      <c r="H1" s="8"/>
      <c r="I1" s="8"/>
      <c r="M1" s="8"/>
      <c r="N1" s="8"/>
      <c r="O1" s="8"/>
      <c r="P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X1" s="8"/>
      <c r="BY1" s="8"/>
      <c r="BZ1" s="8"/>
      <c r="CA1" s="8"/>
      <c r="CB1" s="8"/>
      <c r="CC1" s="8"/>
      <c r="CD1" s="8"/>
      <c r="CE1" s="8"/>
    </row>
    <row r="2" spans="1:103">
      <c r="A2" s="147"/>
      <c r="B2" s="147"/>
      <c r="C2" s="722" t="s">
        <v>597</v>
      </c>
      <c r="D2" s="147"/>
      <c r="E2" s="147"/>
      <c r="M2" s="75"/>
      <c r="N2" s="75"/>
      <c r="O2" s="75"/>
      <c r="U2" s="75"/>
      <c r="V2" s="75"/>
      <c r="Y2" s="75"/>
      <c r="Z2" s="75"/>
      <c r="AC2" s="75"/>
      <c r="AD2" s="75"/>
      <c r="AG2" s="75"/>
      <c r="AH2" s="75"/>
      <c r="AK2" s="75"/>
      <c r="AL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I2" s="75"/>
      <c r="BJ2" s="75"/>
      <c r="BK2" s="75"/>
      <c r="BN2" s="75"/>
      <c r="BO2" s="75"/>
      <c r="BP2" s="75"/>
      <c r="BR2" s="75"/>
      <c r="BX2" s="75"/>
      <c r="BY2" s="75"/>
      <c r="BZ2" s="75"/>
      <c r="CA2" s="75"/>
      <c r="CB2" s="75"/>
      <c r="CC2" s="75"/>
      <c r="CD2" s="75"/>
      <c r="CE2" s="75"/>
    </row>
    <row r="3" spans="1:103" ht="21.75" customHeight="1">
      <c r="A3" s="147"/>
      <c r="B3" s="147"/>
      <c r="C3" s="883">
        <f>'allg. Infos'!B3</f>
        <v>0</v>
      </c>
      <c r="D3" s="147"/>
      <c r="E3" s="147"/>
      <c r="I3" s="283"/>
      <c r="J3" s="846"/>
      <c r="K3" s="283"/>
      <c r="L3" s="284"/>
      <c r="M3" s="284"/>
      <c r="N3" s="284"/>
      <c r="P3" s="283"/>
      <c r="S3" s="283"/>
      <c r="T3" s="283"/>
      <c r="U3" s="283"/>
      <c r="V3" s="283"/>
      <c r="W3" s="283"/>
      <c r="X3" s="283"/>
      <c r="Y3" s="283"/>
      <c r="Z3" s="283"/>
      <c r="AA3" s="283"/>
      <c r="AB3" s="283"/>
      <c r="AC3" s="283"/>
      <c r="AD3" s="283"/>
      <c r="AE3" s="283"/>
      <c r="AF3" s="283"/>
      <c r="AG3" s="283"/>
      <c r="AH3" s="283"/>
      <c r="AI3" s="283"/>
      <c r="AJ3" s="283"/>
      <c r="AK3" s="283"/>
      <c r="AL3" s="283"/>
      <c r="AM3" s="283"/>
      <c r="AN3" s="283"/>
      <c r="AO3" s="283"/>
      <c r="AP3" s="283"/>
      <c r="AQ3" s="283"/>
      <c r="AR3" s="283"/>
      <c r="AS3" s="283"/>
      <c r="AT3" s="283"/>
      <c r="AU3" s="283"/>
      <c r="AV3" s="283"/>
      <c r="AW3" s="283"/>
      <c r="AX3" s="283"/>
      <c r="AY3" s="283"/>
      <c r="AZ3" s="283"/>
      <c r="BA3" s="283"/>
      <c r="BB3" s="283"/>
      <c r="BC3" s="283"/>
      <c r="BD3" s="283"/>
      <c r="BE3" s="283"/>
      <c r="BF3" s="283"/>
      <c r="BG3" s="283"/>
      <c r="BH3" s="283"/>
      <c r="BI3" s="283"/>
      <c r="BJ3" s="283"/>
      <c r="BK3" s="283"/>
      <c r="BL3" s="283"/>
      <c r="BM3" s="283"/>
      <c r="BN3" s="283"/>
      <c r="BO3" s="283"/>
      <c r="BP3" s="283"/>
      <c r="BQ3" s="283"/>
      <c r="BR3" s="283"/>
      <c r="BS3" s="283"/>
      <c r="BX3" s="283"/>
      <c r="BY3" s="283"/>
      <c r="BZ3" s="283"/>
      <c r="CA3" s="283"/>
      <c r="CB3" s="283"/>
      <c r="CC3" s="283"/>
      <c r="CD3" s="283"/>
      <c r="CE3" s="283"/>
    </row>
    <row r="4" spans="1:103" s="549" customFormat="1" ht="16.5" customHeight="1">
      <c r="A4" s="620"/>
      <c r="B4" s="620"/>
      <c r="C4" s="553" t="s">
        <v>86</v>
      </c>
      <c r="D4" s="620"/>
      <c r="E4" s="620"/>
      <c r="I4" s="550"/>
      <c r="J4" s="283"/>
      <c r="K4" s="283"/>
      <c r="L4" s="284"/>
      <c r="M4" s="284"/>
      <c r="N4" s="284"/>
      <c r="O4" s="551"/>
      <c r="P4" s="550"/>
      <c r="R4" s="551"/>
      <c r="S4" s="550"/>
      <c r="T4" s="550"/>
      <c r="U4" s="550"/>
      <c r="V4" s="550"/>
      <c r="W4" s="550"/>
      <c r="X4" s="550"/>
      <c r="Y4" s="550"/>
      <c r="Z4" s="550"/>
      <c r="AA4" s="550"/>
      <c r="AB4" s="550"/>
      <c r="AC4" s="550"/>
      <c r="AD4" s="550"/>
      <c r="AE4" s="550"/>
      <c r="AF4" s="550"/>
      <c r="AG4" s="550"/>
      <c r="AH4" s="550"/>
      <c r="AI4" s="550"/>
      <c r="AJ4" s="550"/>
      <c r="AK4" s="550"/>
      <c r="AL4" s="550"/>
      <c r="AM4" s="550"/>
      <c r="AN4" s="550"/>
      <c r="AO4" s="550"/>
      <c r="AP4" s="550"/>
      <c r="AQ4" s="550"/>
      <c r="AR4" s="550"/>
      <c r="AS4" s="550"/>
      <c r="AT4" s="550"/>
      <c r="AU4" s="550"/>
      <c r="AV4" s="550"/>
      <c r="AW4" s="550"/>
      <c r="AX4" s="550"/>
      <c r="AY4" s="550"/>
      <c r="AZ4" s="550"/>
      <c r="BA4" s="550"/>
      <c r="BB4" s="550"/>
      <c r="BC4" s="550"/>
      <c r="BD4" s="550"/>
      <c r="BE4" s="550"/>
      <c r="BF4" s="550"/>
      <c r="BG4" s="550"/>
      <c r="BH4" s="550"/>
      <c r="BI4" s="550"/>
      <c r="BJ4" s="550"/>
      <c r="BK4" s="550"/>
      <c r="BL4" s="550"/>
      <c r="BM4" s="550"/>
      <c r="BN4" s="550"/>
      <c r="BO4" s="550"/>
      <c r="BP4" s="550"/>
      <c r="BQ4" s="550"/>
      <c r="BR4" s="550"/>
      <c r="BS4" s="550"/>
      <c r="BT4" s="551"/>
      <c r="BU4" s="551"/>
      <c r="BV4" s="551"/>
      <c r="BW4" s="551"/>
      <c r="BX4" s="550"/>
      <c r="BY4" s="550"/>
      <c r="BZ4" s="550"/>
      <c r="CA4" s="550"/>
      <c r="CB4" s="550"/>
      <c r="CC4" s="550"/>
      <c r="CD4" s="550"/>
      <c r="CE4" s="550"/>
      <c r="CF4" s="551"/>
      <c r="CG4" s="551"/>
      <c r="CH4" s="551"/>
      <c r="CI4" s="551"/>
      <c r="CT4" s="552"/>
      <c r="CU4" s="552"/>
    </row>
    <row r="5" spans="1:103">
      <c r="A5" s="147"/>
      <c r="B5" s="147"/>
      <c r="C5" s="2" t="s">
        <v>85</v>
      </c>
      <c r="D5" s="147"/>
      <c r="E5" s="1360" t="s">
        <v>554</v>
      </c>
      <c r="F5" s="554" t="s">
        <v>144</v>
      </c>
      <c r="G5" s="285" t="s">
        <v>145</v>
      </c>
      <c r="H5" s="285" t="s">
        <v>146</v>
      </c>
      <c r="J5" s="283"/>
      <c r="K5" s="283"/>
      <c r="L5" s="284"/>
      <c r="M5" s="284"/>
      <c r="N5" s="284"/>
      <c r="P5" s="283"/>
      <c r="Q5" s="283"/>
      <c r="R5" s="1021" t="s">
        <v>2056</v>
      </c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  <c r="AM5" s="283"/>
      <c r="AN5" s="283"/>
      <c r="AO5" s="283"/>
      <c r="AP5" s="283"/>
      <c r="AQ5" s="283"/>
      <c r="AR5" s="283"/>
      <c r="AS5" s="283"/>
      <c r="AT5" s="283"/>
      <c r="AU5" s="283"/>
      <c r="AV5" s="283"/>
      <c r="AW5" s="283"/>
      <c r="AX5" s="283"/>
      <c r="AY5" s="283"/>
      <c r="AZ5" s="283"/>
      <c r="BA5" s="283"/>
      <c r="BB5" s="283"/>
      <c r="BC5" s="283"/>
      <c r="BD5" s="283"/>
      <c r="BE5" s="283"/>
      <c r="BF5" s="283"/>
      <c r="BG5" s="283"/>
      <c r="BH5" s="283"/>
      <c r="BI5" s="283"/>
      <c r="BJ5" s="283"/>
      <c r="BK5" s="283"/>
      <c r="BL5" s="283"/>
      <c r="BM5" s="283"/>
      <c r="BN5" s="283"/>
      <c r="BO5" s="283"/>
      <c r="BP5" s="283"/>
      <c r="BQ5" s="283"/>
      <c r="BR5" s="283"/>
      <c r="BS5" s="283"/>
      <c r="BX5" s="283"/>
      <c r="BY5" s="283"/>
      <c r="BZ5" s="283"/>
      <c r="CA5" s="283"/>
      <c r="CB5" s="283"/>
      <c r="CC5" s="283"/>
      <c r="CD5" s="283"/>
      <c r="CE5" s="283"/>
      <c r="CI5" s="838"/>
    </row>
    <row r="6" spans="1:103" ht="13.5" thickBot="1">
      <c r="A6" s="147"/>
      <c r="B6" s="147"/>
      <c r="C6" s="147" t="s">
        <v>94</v>
      </c>
      <c r="D6" s="1046"/>
      <c r="E6" s="1361"/>
      <c r="F6" s="1047"/>
      <c r="G6" s="1048"/>
      <c r="H6" s="1049"/>
      <c r="J6" s="283"/>
      <c r="K6" s="283"/>
      <c r="L6" s="284"/>
      <c r="M6" s="284"/>
      <c r="N6" s="284"/>
      <c r="P6" s="283"/>
      <c r="Q6" s="283"/>
      <c r="R6" s="1022">
        <f>Kontrollen!C7</f>
        <v>0</v>
      </c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283"/>
      <c r="AL6" s="283"/>
      <c r="AM6" s="283"/>
      <c r="AN6" s="283"/>
      <c r="AO6" s="283"/>
      <c r="AP6" s="283"/>
      <c r="AQ6" s="283"/>
      <c r="AR6" s="283"/>
      <c r="AS6" s="283"/>
      <c r="AT6" s="283"/>
      <c r="AU6" s="283"/>
      <c r="AV6" s="283"/>
      <c r="AW6" s="283"/>
      <c r="AX6" s="283"/>
      <c r="AY6" s="283"/>
      <c r="AZ6" s="283"/>
      <c r="BA6" s="283"/>
      <c r="BB6" s="283"/>
      <c r="BC6" s="283"/>
      <c r="BD6" s="283"/>
      <c r="BE6" s="283"/>
      <c r="BF6" s="283"/>
      <c r="BG6" s="283"/>
      <c r="BH6" s="283"/>
      <c r="BI6" s="283"/>
      <c r="BJ6" s="283"/>
      <c r="BK6" s="283"/>
      <c r="BL6" s="283"/>
      <c r="BM6" s="283"/>
      <c r="BN6" s="283"/>
      <c r="BO6" s="283"/>
      <c r="BP6" s="283"/>
      <c r="BQ6" s="283"/>
      <c r="BR6" s="283"/>
      <c r="BS6" s="283"/>
      <c r="BX6" s="283"/>
      <c r="BY6" s="283"/>
      <c r="BZ6" s="283"/>
      <c r="CA6" s="283"/>
      <c r="CB6" s="283"/>
      <c r="CC6" s="283"/>
      <c r="CD6" s="283"/>
      <c r="CE6" s="283"/>
    </row>
    <row r="7" spans="1:103" s="129" customFormat="1" ht="55.5" customHeight="1" thickBot="1">
      <c r="A7" s="762" t="s">
        <v>76</v>
      </c>
      <c r="B7" s="763" t="s">
        <v>2</v>
      </c>
      <c r="C7" s="268" t="s">
        <v>0</v>
      </c>
      <c r="D7" s="269" t="s">
        <v>83</v>
      </c>
      <c r="E7" s="269" t="s">
        <v>172</v>
      </c>
      <c r="F7" s="567" t="s">
        <v>1</v>
      </c>
      <c r="G7" s="765" t="s">
        <v>669</v>
      </c>
      <c r="H7" s="765" t="s">
        <v>670</v>
      </c>
      <c r="I7" s="567" t="str">
        <f>'KTR-Ausweis Gesamtansicht'!I10</f>
        <v>rein stat. KVG Fälle
akut</v>
      </c>
      <c r="J7" s="567" t="str">
        <f>'KTR-Ausweis Gesamtansicht'!J10</f>
        <v>stat. Tarif KVG ZV 
akut</v>
      </c>
      <c r="K7" s="765" t="str">
        <f>'KTR-Ausweis Gesamtansicht'!K10</f>
        <v xml:space="preserve">stat. Tarif KVG Total
</v>
      </c>
      <c r="L7" s="567" t="str">
        <f>'KTR-Ausweis Gesamtansicht'!L10</f>
        <v>stat. 
Tarif ZMT 
akut</v>
      </c>
      <c r="M7" s="567" t="str">
        <f>'KTR-Ausweis Gesamtansicht'!M10</f>
        <v>stat. Tarif ZMT ZV 
akut</v>
      </c>
      <c r="N7" s="765" t="str">
        <f>'KTR-Ausweis Gesamtansicht'!N10</f>
        <v>stat. Tarif ZMT total</v>
      </c>
      <c r="O7" s="567" t="str">
        <f>'KTR-Ausweis Gesamtansicht'!O10</f>
        <v>übrige Selbstzahler 
akut</v>
      </c>
      <c r="P7" s="567" t="str">
        <f>'KTR-Ausweis Gesamtansicht'!P10</f>
        <v xml:space="preserve">weiterer Tarif reine stat. </v>
      </c>
      <c r="Q7" s="567" t="str">
        <f>'KTR-Ausweis Gesamtansicht'!Q10</f>
        <v>weiterer Tarif stat. ZV</v>
      </c>
      <c r="R7" s="317" t="str">
        <f>'KTR-Ausweis Gesamtansicht'!R10</f>
        <v>Total 
stationär, SwissDRG relevant</v>
      </c>
      <c r="S7" s="286" t="str">
        <f>'KTR-Ausweis Gesamtansicht'!S10</f>
        <v xml:space="preserve">Geriatrische Rehab. 
rein stat. KVG </v>
      </c>
      <c r="T7" s="286" t="str">
        <f>'KTR-Ausweis Gesamtansicht'!T10</f>
        <v xml:space="preserve">Geriatrische Rehab. 
ZV KVG </v>
      </c>
      <c r="U7" s="286" t="str">
        <f>'KTR-Ausweis Gesamtansicht'!U10</f>
        <v xml:space="preserve">Geriatrische Rehab. 
ZMT </v>
      </c>
      <c r="V7" s="286" t="str">
        <f>'KTR-Ausweis Gesamtansicht'!V10</f>
        <v>Geriatrische Rehab. 
ZMT ZV</v>
      </c>
      <c r="W7" s="286" t="str">
        <f>'KTR-Ausweis Gesamtansicht'!W10</f>
        <v xml:space="preserve">Kardiovask. Rehab. 
rein stat. KVG </v>
      </c>
      <c r="X7" s="286" t="str">
        <f>'KTR-Ausweis Gesamtansicht'!X10</f>
        <v xml:space="preserve">Kardiovask. Rehab. 
ZV KVG </v>
      </c>
      <c r="Y7" s="286" t="str">
        <f>'KTR-Ausweis Gesamtansicht'!Y10</f>
        <v xml:space="preserve">Kardiovask. Rehab. 
ZMT </v>
      </c>
      <c r="Z7" s="286" t="str">
        <f>'KTR-Ausweis Gesamtansicht'!Z10</f>
        <v>Kardiovask. Rehab. 
ZMT ZV</v>
      </c>
      <c r="AA7" s="286" t="str">
        <f>'KTR-Ausweis Gesamtansicht'!AA10</f>
        <v xml:space="preserve">Muskulosk. Rehab. 
rein stat. KVG </v>
      </c>
      <c r="AB7" s="286" t="str">
        <f>'KTR-Ausweis Gesamtansicht'!AB10</f>
        <v xml:space="preserve">Muskulosk. Rehab. 
ZV KVG </v>
      </c>
      <c r="AC7" s="286" t="str">
        <f>'KTR-Ausweis Gesamtansicht'!AC10</f>
        <v xml:space="preserve">Muskulosk. Rehab. 
ZMT </v>
      </c>
      <c r="AD7" s="286" t="str">
        <f>'KTR-Ausweis Gesamtansicht'!AD10</f>
        <v>Muskulosk. Rehab. 
ZMT ZV</v>
      </c>
      <c r="AE7" s="286" t="str">
        <f>'KTR-Ausweis Gesamtansicht'!AE10</f>
        <v xml:space="preserve">Neuro. Rehab. 
rein stat. KVG </v>
      </c>
      <c r="AF7" s="286" t="str">
        <f>'KTR-Ausweis Gesamtansicht'!AF10</f>
        <v xml:space="preserve">Neuro. Rehab. 
ZV KVG </v>
      </c>
      <c r="AG7" s="286" t="str">
        <f>'KTR-Ausweis Gesamtansicht'!AG10</f>
        <v xml:space="preserve">Neuro. Rehab. 
ZMT </v>
      </c>
      <c r="AH7" s="286" t="str">
        <f>'KTR-Ausweis Gesamtansicht'!AH10</f>
        <v>Neuro. Rehab. 
ZMT ZV</v>
      </c>
      <c r="AI7" s="286" t="str">
        <f>'KTR-Ausweis Gesamtansicht'!AI10</f>
        <v xml:space="preserve">Pulmonale Rehab. 
rein stat. KVG </v>
      </c>
      <c r="AJ7" s="286" t="str">
        <f>'KTR-Ausweis Gesamtansicht'!AJ10</f>
        <v xml:space="preserve">Pulmonale Rehab. 
ZV KVG </v>
      </c>
      <c r="AK7" s="286" t="str">
        <f>'KTR-Ausweis Gesamtansicht'!AK10</f>
        <v xml:space="preserve">Pulmonale Rehab. 
ZMT </v>
      </c>
      <c r="AL7" s="286" t="str">
        <f>'KTR-Ausweis Gesamtansicht'!AL10</f>
        <v>Pulmonale Rehab. 
ZMT ZV</v>
      </c>
      <c r="AM7" s="286" t="str">
        <f>'KTR-Ausweis Gesamtansicht'!AM10</f>
        <v xml:space="preserve">Pädiatrische Rehab. 
rein stat. KVG </v>
      </c>
      <c r="AN7" s="286" t="str">
        <f>'KTR-Ausweis Gesamtansicht'!AN10</f>
        <v xml:space="preserve">Pädiatrische Rehab. 
ZV KVG </v>
      </c>
      <c r="AO7" s="286" t="str">
        <f>'KTR-Ausweis Gesamtansicht'!AO10</f>
        <v xml:space="preserve">Pädiatrische Rehab. 
ZMT </v>
      </c>
      <c r="AP7" s="286" t="str">
        <f>'KTR-Ausweis Gesamtansicht'!AP10</f>
        <v>Pädiatrische Rehab. 
ZMT ZV</v>
      </c>
      <c r="AQ7" s="286" t="str">
        <f>'KTR-Ausweis Gesamtansicht'!AQ10</f>
        <v>Internistische &amp; Onkologische Rehab. 
Rein stat. KVG</v>
      </c>
      <c r="AR7" s="286" t="str">
        <f>'KTR-Ausweis Gesamtansicht'!AR10</f>
        <v>Internistische &amp; Onkologische Rehab. 
ZV KVG</v>
      </c>
      <c r="AS7" s="286" t="str">
        <f>'KTR-Ausweis Gesamtansicht'!AS10</f>
        <v>Internistische &amp; Onkologische Rehab. 
ZMT</v>
      </c>
      <c r="AT7" s="286" t="str">
        <f>'KTR-Ausweis Gesamtansicht'!AT10</f>
        <v>Internistische &amp; Onkologische Rehab. 
ZMT ZV</v>
      </c>
      <c r="AU7" s="286" t="str">
        <f>'KTR-Ausweis Gesamtansicht'!AU10</f>
        <v>Paraplegiologische Rehab.
rein stat. KVG</v>
      </c>
      <c r="AV7" s="286" t="str">
        <f>'KTR-Ausweis Gesamtansicht'!AV10</f>
        <v>Paraplegiologische Rehab. ZV KVG</v>
      </c>
      <c r="AW7" s="286" t="str">
        <f>'KTR-Ausweis Gesamtansicht'!AW10</f>
        <v>Paraplegiologische Rehab. 
ZMT</v>
      </c>
      <c r="AX7" s="286" t="str">
        <f>'KTR-Ausweis Gesamtansicht'!AX10</f>
        <v>Paraplegiologische Rehab.
ZMT ZV</v>
      </c>
      <c r="AY7" s="286" t="str">
        <f>'KTR-Ausweis Gesamtansicht'!AY10</f>
        <v>Psychosomatische Rehab.
rein stat. KVG</v>
      </c>
      <c r="AZ7" s="286" t="str">
        <f>'KTR-Ausweis Gesamtansicht'!AZ10</f>
        <v>Psychosomatische Rehab. ZV KVG</v>
      </c>
      <c r="BA7" s="286" t="str">
        <f>'KTR-Ausweis Gesamtansicht'!BA10</f>
        <v>Psychosomatische Rehab. 
ZMT</v>
      </c>
      <c r="BB7" s="286" t="str">
        <f>'KTR-Ausweis Gesamtansicht'!BB10</f>
        <v>Psychosomatische Rehab.
ZMT ZV</v>
      </c>
      <c r="BC7" s="765" t="str">
        <f>'KTR-Ausweis Gesamtansicht'!BC10</f>
        <v xml:space="preserve">übrige Selbstzahler 
</v>
      </c>
      <c r="BD7" s="286" t="str">
        <f>'KTR-Ausweis Gesamtansicht'!BD10</f>
        <v>weiterer stat. Reha-Tarif grundv.</v>
      </c>
      <c r="BE7" s="286" t="str">
        <f>'KTR-Ausweis Gesamtansicht'!BE10</f>
        <v>weiterer stat. Reha-Tarif ZV</v>
      </c>
      <c r="BF7" s="317" t="str">
        <f>'KTR-Ausweis Gesamtansicht'!BF10</f>
        <v>Total Rehabilitation stationär</v>
      </c>
      <c r="BG7" s="286" t="str">
        <f>'KTR-Ausweis Gesamtansicht'!BG10</f>
        <v>rein stat. KVG Fälle 
Erw. Psychi</v>
      </c>
      <c r="BH7" s="286" t="str">
        <f>'KTR-Ausweis Gesamtansicht'!BH10</f>
        <v>stat. Tarif KVG ZV 
Erw. Psychi</v>
      </c>
      <c r="BI7" s="286" t="str">
        <f>'KTR-Ausweis Gesamtansicht'!BI10</f>
        <v>stat. 
Tarif ZMT 
Erw. Psychi</v>
      </c>
      <c r="BJ7" s="286" t="str">
        <f>'KTR-Ausweis Gesamtansicht'!BJ10</f>
        <v>stat. Tarif ZMT ZV 
Erw. Psychi</v>
      </c>
      <c r="BK7" s="286" t="str">
        <f>'KTR-Ausweis Gesamtansicht'!BK10</f>
        <v>übrige Selbstzahler 
Erw. Psychi</v>
      </c>
      <c r="BL7" s="286" t="str">
        <f>'KTR-Ausweis Gesamtansicht'!BL10</f>
        <v>rein stat. KVG Fälle 
Kinder Psychi</v>
      </c>
      <c r="BM7" s="286" t="str">
        <f>'KTR-Ausweis Gesamtansicht'!BM10</f>
        <v>stat. Tarif KVG ZV 
Kinder Psychi</v>
      </c>
      <c r="BN7" s="286" t="str">
        <f>'KTR-Ausweis Gesamtansicht'!BN10</f>
        <v>stati.
Tarif ZMT 
Kinder Psychi</v>
      </c>
      <c r="BO7" s="286" t="str">
        <f>'KTR-Ausweis Gesamtansicht'!BO10</f>
        <v>stat. Tarif ZMT ZV 
Kinder Psychi</v>
      </c>
      <c r="BP7" s="286" t="str">
        <f>'KTR-Ausweis Gesamtansicht'!BP10</f>
        <v>übrige Selbstzahler 
Kinder Psychi</v>
      </c>
      <c r="BQ7" s="286" t="str">
        <f>'KTR-Ausweis Gesamtansicht'!BQ10</f>
        <v>weiterer stat. Psychitarif grundv.</v>
      </c>
      <c r="BR7" s="286" t="str">
        <f>'KTR-Ausweis Gesamtansicht'!BR10</f>
        <v>weiterer stat. Psychitarif ZV</v>
      </c>
      <c r="BS7" s="317" t="str">
        <f>'KTR-Ausweis Gesamtansicht'!BS10</f>
        <v>Total 
Psychiatrie stationär</v>
      </c>
      <c r="BT7" s="567" t="str">
        <f>'KTR-Ausweis Gesamtansicht'!BT10</f>
        <v>geriatrische Langzeit
stationär</v>
      </c>
      <c r="BU7" s="567" t="str">
        <f>'KTR-Ausweis Gesamtansicht'!BU10</f>
        <v>Palliativ
stationär</v>
      </c>
      <c r="BV7" s="286" t="str">
        <f>'KTR-Ausweis Gesamtansicht'!BV10</f>
        <v>weitere Tarife (z. B. SVK)
stationär</v>
      </c>
      <c r="BW7" s="765" t="str">
        <f>'KTR-Ausweis Gesamtansicht'!BW10</f>
        <v>Total stationär</v>
      </c>
      <c r="BX7" s="286" t="str">
        <f>'KTR-Ausweis Gesamtansicht'!BX10</f>
        <v>Tageskliniken Psychiatrie</v>
      </c>
      <c r="BY7" s="286" t="str">
        <f>'KTR-Ausweis Gesamtansicht'!BY10</f>
        <v>Tagesklinik Psycho-geriatrie</v>
      </c>
      <c r="BZ7" s="286" t="str">
        <f>'KTR-Ausweis Gesamtansicht'!BZ10</f>
        <v>Tagesklinik Alkohol-behandlung</v>
      </c>
      <c r="CA7" s="286" t="str">
        <f>'KTR-Ausweis Gesamtansicht'!CA10</f>
        <v>Tagesklinik Suchtbehandlung</v>
      </c>
      <c r="CB7" s="286" t="str">
        <f>'KTR-Ausweis Gesamtansicht'!CB10</f>
        <v>Tagesklinik Kinder-&amp; Jugendpsychiatrie</v>
      </c>
      <c r="CC7" s="286" t="str">
        <f>'KTR-Ausweis Gesamtansicht'!CC10</f>
        <v>Akuttagesklinik Psychiatrie</v>
      </c>
      <c r="CD7" s="286" t="str">
        <f>'KTR-Ausweis Gesamtansicht'!CD10</f>
        <v>Nachtklinik Psychiatrie</v>
      </c>
      <c r="CE7" s="317" t="str">
        <f>'KTR-Ausweis Gesamtansicht'!CE10</f>
        <v>Total 
Tageskliniken Psychiatrie</v>
      </c>
      <c r="CF7" s="568" t="str">
        <f>'KTR-Ausweis Gesamtansicht'!CF10</f>
        <v>universitäre Lehre + Forschung</v>
      </c>
      <c r="CG7" s="567" t="str">
        <f>'KTR-Ausweis Gesamtansicht'!CG10</f>
        <v>übrige Aufträge an Dritte, inkl. GWL</v>
      </c>
      <c r="CH7" s="567" t="str">
        <f>'KTR-Ausweis Gesamtansicht'!CH10</f>
        <v xml:space="preserve"> ambulante
Behandlung
Total</v>
      </c>
      <c r="CI7" s="765" t="s">
        <v>84</v>
      </c>
      <c r="CJ7" s="567" t="s">
        <v>2045</v>
      </c>
      <c r="CK7" s="118" t="str">
        <f>'KTR-Ausweis Gesamtansicht'!CK10</f>
        <v>Tarif 
TARMED</v>
      </c>
      <c r="CL7" s="119" t="str">
        <f>'KTR-Ausweis Gesamtansicht'!CL10</f>
        <v>Tarif 
Labor</v>
      </c>
      <c r="CM7" s="120" t="str">
        <f>'KTR-Ausweis Gesamtansicht'!CM10</f>
        <v>Tarif 
Physio</v>
      </c>
      <c r="CN7" s="121" t="str">
        <f>'KTR-Ausweis Gesamtansicht'!CN10</f>
        <v>Tarif 
Ergo-therapie</v>
      </c>
      <c r="CO7" s="122" t="str">
        <f>'KTR-Ausweis Gesamtansicht'!CO10</f>
        <v>Tarif Ernähr/
Diab/Logo</v>
      </c>
      <c r="CP7" s="123" t="str">
        <f>'KTR-Ausweis Gesamtansicht'!CP10</f>
        <v>Tarif 
Zahnarzt SSO</v>
      </c>
      <c r="CQ7" s="124" t="str">
        <f>'KTR-Ausweis Gesamtansicht'!CQ10</f>
        <v>Tarif 
Zytostatika</v>
      </c>
      <c r="CR7" s="270" t="str">
        <f>'KTR-Ausweis Gesamtansicht'!CR10</f>
        <v>Tarif 
Dialyse</v>
      </c>
      <c r="CS7" s="271" t="str">
        <f>'KTR-Ausweis Gesamtansicht'!CS10</f>
        <v>Weitere, betriebsindiv. amb. Tarife</v>
      </c>
      <c r="CT7" s="287" t="str">
        <f>'KTR-Ausweis Gesamtansicht'!CT10</f>
        <v>Material, Medikamente, Blut</v>
      </c>
      <c r="CU7" s="287" t="str">
        <f>'KTR-Ausweis Gesamtansicht'!CU10</f>
        <v>Fremdleistungen</v>
      </c>
      <c r="CV7" s="272" t="s">
        <v>69</v>
      </c>
    </row>
    <row r="8" spans="1:103">
      <c r="A8" s="621" t="s">
        <v>72</v>
      </c>
      <c r="B8" s="166" t="s">
        <v>109</v>
      </c>
      <c r="C8" s="1040"/>
      <c r="D8" s="1041"/>
      <c r="E8" s="346">
        <f>C8+D8</f>
        <v>0</v>
      </c>
      <c r="F8" s="1050"/>
      <c r="G8" s="368"/>
      <c r="H8" s="248"/>
      <c r="I8" s="248"/>
      <c r="J8" s="248"/>
      <c r="K8" s="368"/>
      <c r="L8" s="248"/>
      <c r="M8" s="248"/>
      <c r="N8" s="368"/>
      <c r="O8" s="248"/>
      <c r="P8" s="368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8"/>
      <c r="AH8" s="248"/>
      <c r="AI8" s="248"/>
      <c r="AJ8" s="248"/>
      <c r="AK8" s="248"/>
      <c r="AL8" s="248"/>
      <c r="AM8" s="248"/>
      <c r="AN8" s="248"/>
      <c r="AO8" s="248"/>
      <c r="AP8" s="248"/>
      <c r="AQ8" s="368"/>
      <c r="AR8" s="368"/>
      <c r="AS8" s="368"/>
      <c r="AT8" s="368"/>
      <c r="AU8" s="368"/>
      <c r="AV8" s="368"/>
      <c r="AW8" s="368"/>
      <c r="AX8" s="368"/>
      <c r="AY8" s="368"/>
      <c r="AZ8" s="368"/>
      <c r="BA8" s="368"/>
      <c r="BB8" s="368"/>
      <c r="BC8" s="368"/>
      <c r="BD8" s="248"/>
      <c r="BE8" s="248"/>
      <c r="BF8" s="368">
        <f>SUM(S8:BE8)</f>
        <v>0</v>
      </c>
      <c r="BG8" s="248"/>
      <c r="BH8" s="248"/>
      <c r="BI8" s="248"/>
      <c r="BJ8" s="248"/>
      <c r="BK8" s="248"/>
      <c r="BL8" s="248"/>
      <c r="BM8" s="248"/>
      <c r="BN8" s="248"/>
      <c r="BO8" s="248"/>
      <c r="BP8" s="248"/>
      <c r="BQ8" s="248"/>
      <c r="BR8" s="248"/>
      <c r="BS8" s="368">
        <f>SUM(BG8:BR8)</f>
        <v>0</v>
      </c>
      <c r="BT8" s="248"/>
      <c r="BU8" s="248"/>
      <c r="BV8" s="248"/>
      <c r="BW8" s="368">
        <f t="shared" ref="BW8:BW14" si="0">R8+BF8+BS8+BT8+BU8+BV8</f>
        <v>0</v>
      </c>
      <c r="BX8" s="248"/>
      <c r="BY8" s="248"/>
      <c r="BZ8" s="248"/>
      <c r="CA8" s="248"/>
      <c r="CB8" s="248"/>
      <c r="CC8" s="248"/>
      <c r="CD8" s="248"/>
      <c r="CE8" s="248">
        <f t="shared" ref="CE8:CE14" si="1">SUM(BX8:CD8)</f>
        <v>0</v>
      </c>
      <c r="CF8" s="248"/>
      <c r="CG8" s="248"/>
      <c r="CH8" s="248"/>
      <c r="CI8" s="368">
        <f t="shared" ref="CI8:CI14" si="2">F8+BW8+CE8+CF8+CG8+CH8</f>
        <v>0</v>
      </c>
      <c r="CJ8" s="249"/>
      <c r="CK8" s="249"/>
      <c r="CL8" s="249"/>
      <c r="CM8" s="249"/>
      <c r="CN8" s="249"/>
      <c r="CO8" s="249"/>
      <c r="CP8" s="590"/>
      <c r="CQ8" s="591"/>
      <c r="CR8" s="592"/>
      <c r="CS8" s="593"/>
      <c r="CT8" s="593"/>
      <c r="CU8" s="593"/>
      <c r="CV8" s="594">
        <f>SUM(CK8:CU8)-CH8</f>
        <v>0</v>
      </c>
      <c r="CW8" s="431"/>
      <c r="CX8" s="431"/>
      <c r="CY8" s="431"/>
    </row>
    <row r="9" spans="1:103">
      <c r="A9" s="621">
        <v>38</v>
      </c>
      <c r="B9" s="166" t="s">
        <v>110</v>
      </c>
      <c r="C9" s="1042"/>
      <c r="D9" s="1043"/>
      <c r="E9" s="346">
        <f t="shared" ref="E9:E14" si="3">C9+D9</f>
        <v>0</v>
      </c>
      <c r="F9" s="1050"/>
      <c r="G9" s="1052"/>
      <c r="H9" s="1052"/>
      <c r="I9" s="248">
        <f>+SUM('KTR-Ausweis Gesamtansicht'!I32:I33)</f>
        <v>0</v>
      </c>
      <c r="J9" s="248">
        <f>+SUM('KTR-Ausweis Gesamtansicht'!J32:J33)</f>
        <v>0</v>
      </c>
      <c r="K9" s="368">
        <f>SUM(I9+J9)</f>
        <v>0</v>
      </c>
      <c r="L9" s="248">
        <f>+SUM('KTR-Ausweis Gesamtansicht'!L32:L33)</f>
        <v>0</v>
      </c>
      <c r="M9" s="248">
        <f>+SUM('KTR-Ausweis Gesamtansicht'!M32:M33)</f>
        <v>0</v>
      </c>
      <c r="N9" s="368">
        <f>SUM(L9+M9)</f>
        <v>0</v>
      </c>
      <c r="O9" s="248">
        <f>+SUM('KTR-Ausweis Gesamtansicht'!O32:O33)</f>
        <v>0</v>
      </c>
      <c r="P9" s="248">
        <f>+SUM('KTR-Ausweis Gesamtansicht'!P32:P33)</f>
        <v>0</v>
      </c>
      <c r="Q9" s="248">
        <f>+SUM('KTR-Ausweis Gesamtansicht'!Q32:Q33)</f>
        <v>0</v>
      </c>
      <c r="R9" s="248">
        <f>K9+N9+O9+P9+Q9</f>
        <v>0</v>
      </c>
      <c r="S9" s="248">
        <f>+SUM('KTR-Ausweis Gesamtansicht'!S32:S33)</f>
        <v>0</v>
      </c>
      <c r="T9" s="248">
        <f>+SUM('KTR-Ausweis Gesamtansicht'!T32:T33)</f>
        <v>0</v>
      </c>
      <c r="U9" s="248">
        <f>+SUM('KTR-Ausweis Gesamtansicht'!U32:U33)</f>
        <v>0</v>
      </c>
      <c r="V9" s="248">
        <f>+SUM('KTR-Ausweis Gesamtansicht'!V32:V33)</f>
        <v>0</v>
      </c>
      <c r="W9" s="248">
        <f>+SUM('KTR-Ausweis Gesamtansicht'!W32:W33)</f>
        <v>0</v>
      </c>
      <c r="X9" s="248">
        <f>+SUM('KTR-Ausweis Gesamtansicht'!X32:X33)</f>
        <v>0</v>
      </c>
      <c r="Y9" s="248">
        <f>+SUM('KTR-Ausweis Gesamtansicht'!Y32:Y33)</f>
        <v>0</v>
      </c>
      <c r="Z9" s="248">
        <f>+SUM('KTR-Ausweis Gesamtansicht'!Z32:Z33)</f>
        <v>0</v>
      </c>
      <c r="AA9" s="248">
        <f>+SUM('KTR-Ausweis Gesamtansicht'!AA32:AA33)</f>
        <v>0</v>
      </c>
      <c r="AB9" s="248">
        <f>+SUM('KTR-Ausweis Gesamtansicht'!AB32:AB33)</f>
        <v>0</v>
      </c>
      <c r="AC9" s="248">
        <f>+SUM('KTR-Ausweis Gesamtansicht'!AC32:AC33)</f>
        <v>0</v>
      </c>
      <c r="AD9" s="248">
        <f>+SUM('KTR-Ausweis Gesamtansicht'!AD32:AD33)</f>
        <v>0</v>
      </c>
      <c r="AE9" s="248">
        <f>+SUM('KTR-Ausweis Gesamtansicht'!AE32:AE33)</f>
        <v>0</v>
      </c>
      <c r="AF9" s="248">
        <f>+SUM('KTR-Ausweis Gesamtansicht'!AF32:AF33)</f>
        <v>0</v>
      </c>
      <c r="AG9" s="248">
        <f>+SUM('KTR-Ausweis Gesamtansicht'!AG32:AG33)</f>
        <v>0</v>
      </c>
      <c r="AH9" s="248">
        <f>+SUM('KTR-Ausweis Gesamtansicht'!AH32:AH33)</f>
        <v>0</v>
      </c>
      <c r="AI9" s="248">
        <f>+SUM('KTR-Ausweis Gesamtansicht'!AI32:AI33)</f>
        <v>0</v>
      </c>
      <c r="AJ9" s="248">
        <f>+SUM('KTR-Ausweis Gesamtansicht'!AJ32:AJ33)</f>
        <v>0</v>
      </c>
      <c r="AK9" s="248">
        <f>+SUM('KTR-Ausweis Gesamtansicht'!AK32:AK33)</f>
        <v>0</v>
      </c>
      <c r="AL9" s="248">
        <f>+SUM('KTR-Ausweis Gesamtansicht'!AL32:AL33)</f>
        <v>0</v>
      </c>
      <c r="AM9" s="248">
        <f>+SUM('KTR-Ausweis Gesamtansicht'!AM32:AM33)</f>
        <v>0</v>
      </c>
      <c r="AN9" s="248">
        <f>+SUM('KTR-Ausweis Gesamtansicht'!AN32:AN33)</f>
        <v>0</v>
      </c>
      <c r="AO9" s="248">
        <f>+SUM('KTR-Ausweis Gesamtansicht'!AO32:AO33)</f>
        <v>0</v>
      </c>
      <c r="AP9" s="248">
        <f>+SUM('KTR-Ausweis Gesamtansicht'!AP32:AP33)</f>
        <v>0</v>
      </c>
      <c r="AQ9" s="368">
        <f>+SUM('KTR-Ausweis Gesamtansicht'!AQ32:AQ33)</f>
        <v>0</v>
      </c>
      <c r="AR9" s="368">
        <f>+SUM('KTR-Ausweis Gesamtansicht'!AR32:AR33)</f>
        <v>0</v>
      </c>
      <c r="AS9" s="368">
        <f>+SUM('KTR-Ausweis Gesamtansicht'!AS32:AS33)</f>
        <v>0</v>
      </c>
      <c r="AT9" s="368">
        <f>+SUM('KTR-Ausweis Gesamtansicht'!AT32:AT33)</f>
        <v>0</v>
      </c>
      <c r="AU9" s="368">
        <f>+SUM('KTR-Ausweis Gesamtansicht'!AU32:AU33)</f>
        <v>0</v>
      </c>
      <c r="AV9" s="368">
        <f>+SUM('KTR-Ausweis Gesamtansicht'!AV32:AV33)</f>
        <v>0</v>
      </c>
      <c r="AW9" s="368">
        <f>+SUM('KTR-Ausweis Gesamtansicht'!AW32:AW33)</f>
        <v>0</v>
      </c>
      <c r="AX9" s="368">
        <f>+SUM('KTR-Ausweis Gesamtansicht'!AX32:AX33)</f>
        <v>0</v>
      </c>
      <c r="AY9" s="368">
        <f>+SUM('KTR-Ausweis Gesamtansicht'!AY32:AY33)</f>
        <v>0</v>
      </c>
      <c r="AZ9" s="368">
        <f>+SUM('KTR-Ausweis Gesamtansicht'!AZ32:AZ33)</f>
        <v>0</v>
      </c>
      <c r="BA9" s="368">
        <f>+SUM('KTR-Ausweis Gesamtansicht'!BA32:BA33)</f>
        <v>0</v>
      </c>
      <c r="BB9" s="368">
        <f>+SUM('KTR-Ausweis Gesamtansicht'!BB32:BB33)</f>
        <v>0</v>
      </c>
      <c r="BC9" s="368">
        <f>+SUM('KTR-Ausweis Gesamtansicht'!BC32:BC33)</f>
        <v>0</v>
      </c>
      <c r="BD9" s="248">
        <f>+SUM('KTR-Ausweis Gesamtansicht'!BD32:BD33)</f>
        <v>0</v>
      </c>
      <c r="BE9" s="248">
        <f>+SUM('KTR-Ausweis Gesamtansicht'!BE32:BE33)</f>
        <v>0</v>
      </c>
      <c r="BF9" s="368">
        <f>SUM(S9:BE9)</f>
        <v>0</v>
      </c>
      <c r="BG9" s="248">
        <f>+SUM('KTR-Ausweis Gesamtansicht'!BG32:BG33)</f>
        <v>0</v>
      </c>
      <c r="BH9" s="248">
        <f>+SUM('KTR-Ausweis Gesamtansicht'!BH32:BH33)</f>
        <v>0</v>
      </c>
      <c r="BI9" s="248">
        <f>+SUM('KTR-Ausweis Gesamtansicht'!BI32:BI33)</f>
        <v>0</v>
      </c>
      <c r="BJ9" s="248">
        <f>+SUM('KTR-Ausweis Gesamtansicht'!BJ32:BJ33)</f>
        <v>0</v>
      </c>
      <c r="BK9" s="248">
        <f>+SUM('KTR-Ausweis Gesamtansicht'!BK32:BK33)</f>
        <v>0</v>
      </c>
      <c r="BL9" s="248">
        <f>+SUM('KTR-Ausweis Gesamtansicht'!BL32:BL33)</f>
        <v>0</v>
      </c>
      <c r="BM9" s="248">
        <f>+SUM('KTR-Ausweis Gesamtansicht'!BM32:BM33)</f>
        <v>0</v>
      </c>
      <c r="BN9" s="248">
        <f>+SUM('KTR-Ausweis Gesamtansicht'!BN32:BN33)</f>
        <v>0</v>
      </c>
      <c r="BO9" s="248">
        <f>+SUM('KTR-Ausweis Gesamtansicht'!BO32:BO33)</f>
        <v>0</v>
      </c>
      <c r="BP9" s="248">
        <f>+SUM('KTR-Ausweis Gesamtansicht'!BP32:BP33)</f>
        <v>0</v>
      </c>
      <c r="BQ9" s="248">
        <f>+SUM('KTR-Ausweis Gesamtansicht'!BQ32:BQ33)</f>
        <v>0</v>
      </c>
      <c r="BR9" s="248">
        <f>+SUM('KTR-Ausweis Gesamtansicht'!BR32:BR33)</f>
        <v>0</v>
      </c>
      <c r="BS9" s="368">
        <f t="shared" ref="BS9:BS37" si="4">SUM(BG9:BR9)</f>
        <v>0</v>
      </c>
      <c r="BT9" s="248">
        <f>+SUM('KTR-Ausweis Gesamtansicht'!BT32:BT33)</f>
        <v>0</v>
      </c>
      <c r="BU9" s="248">
        <f>+SUM('KTR-Ausweis Gesamtansicht'!BU32:BU33)</f>
        <v>0</v>
      </c>
      <c r="BV9" s="248">
        <f>+SUM('KTR-Ausweis Gesamtansicht'!BV32:BV33)</f>
        <v>0</v>
      </c>
      <c r="BW9" s="368">
        <f t="shared" si="0"/>
        <v>0</v>
      </c>
      <c r="BX9" s="248">
        <f>+SUM('KTR-Ausweis Gesamtansicht'!BX32:BX33)</f>
        <v>0</v>
      </c>
      <c r="BY9" s="248">
        <f>+SUM('KTR-Ausweis Gesamtansicht'!BY32:BY33)</f>
        <v>0</v>
      </c>
      <c r="BZ9" s="248">
        <f>+SUM('KTR-Ausweis Gesamtansicht'!BZ32:BZ33)</f>
        <v>0</v>
      </c>
      <c r="CA9" s="248">
        <f>+SUM('KTR-Ausweis Gesamtansicht'!CA32:CA33)</f>
        <v>0</v>
      </c>
      <c r="CB9" s="248">
        <f>+SUM('KTR-Ausweis Gesamtansicht'!CB32:CB33)</f>
        <v>0</v>
      </c>
      <c r="CC9" s="248">
        <f>+SUM('KTR-Ausweis Gesamtansicht'!CC32:CC33)</f>
        <v>0</v>
      </c>
      <c r="CD9" s="248">
        <f>+SUM('KTR-Ausweis Gesamtansicht'!CD32:CD33)</f>
        <v>0</v>
      </c>
      <c r="CE9" s="248">
        <f t="shared" si="1"/>
        <v>0</v>
      </c>
      <c r="CF9" s="248">
        <f>+SUM('KTR-Ausweis Gesamtansicht'!CF32:CF33)</f>
        <v>0</v>
      </c>
      <c r="CG9" s="248">
        <f>+SUM('KTR-Ausweis Gesamtansicht'!CG32:CG33)</f>
        <v>0</v>
      </c>
      <c r="CH9" s="248">
        <f>+SUM('KTR-Ausweis Gesamtansicht'!CH32:CH33)</f>
        <v>0</v>
      </c>
      <c r="CI9" s="368">
        <f t="shared" si="2"/>
        <v>0</v>
      </c>
      <c r="CJ9" s="249"/>
      <c r="CK9" s="249">
        <f>+SUM('KTR-Ausweis Gesamtansicht'!CK32:CK33)</f>
        <v>0</v>
      </c>
      <c r="CL9" s="249">
        <f>+SUM('KTR-Ausweis Gesamtansicht'!CL32:CL33)</f>
        <v>0</v>
      </c>
      <c r="CM9" s="249">
        <f>+SUM('KTR-Ausweis Gesamtansicht'!CM32:CM33)</f>
        <v>0</v>
      </c>
      <c r="CN9" s="249">
        <f>+SUM('KTR-Ausweis Gesamtansicht'!CN32:CN33)</f>
        <v>0</v>
      </c>
      <c r="CO9" s="249">
        <f>+SUM('KTR-Ausweis Gesamtansicht'!CO32:CO33)</f>
        <v>0</v>
      </c>
      <c r="CP9" s="590">
        <f>+SUM('KTR-Ausweis Gesamtansicht'!CP32:CP33)</f>
        <v>0</v>
      </c>
      <c r="CQ9" s="249">
        <f>+SUM('KTR-Ausweis Gesamtansicht'!CQ32:CQ33)</f>
        <v>0</v>
      </c>
      <c r="CR9" s="592">
        <f>+SUM('KTR-Ausweis Gesamtansicht'!CR32:CR33)</f>
        <v>0</v>
      </c>
      <c r="CS9" s="590">
        <f>+SUM('KTR-Ausweis Gesamtansicht'!CS32:CS33)</f>
        <v>0</v>
      </c>
      <c r="CT9" s="590">
        <f>+SUM('KTR-Ausweis Gesamtansicht'!CT32:CT33)</f>
        <v>0</v>
      </c>
      <c r="CU9" s="590">
        <f>+SUM('KTR-Ausweis Gesamtansicht'!CU32:CU33)</f>
        <v>0</v>
      </c>
      <c r="CV9" s="594">
        <f>SUM(CK9:CU9)-CH9+'KTR-Ausweis Gesamtansicht'!CV32+'KTR-Ausweis Gesamtansicht'!CV33</f>
        <v>0</v>
      </c>
      <c r="CW9" s="431"/>
      <c r="CX9" s="431"/>
      <c r="CY9" s="431"/>
    </row>
    <row r="10" spans="1:103">
      <c r="A10" s="621">
        <v>40</v>
      </c>
      <c r="B10" s="94" t="s">
        <v>26</v>
      </c>
      <c r="C10" s="1044"/>
      <c r="D10" s="1045"/>
      <c r="E10" s="346">
        <f t="shared" si="3"/>
        <v>0</v>
      </c>
      <c r="F10" s="1050"/>
      <c r="G10" s="1052"/>
      <c r="H10" s="1052"/>
      <c r="I10" s="247">
        <f>'KTR-Ausweis Gesamtansicht'!I25+'KTR-Ausweis Gesamtansicht'!I26+'KTR-Ausweis Gesamtansicht'!I27+'KTR-Ausweis Gesamtansicht'!I28+'KTR-Ausweis Gesamtansicht'!I29+'KTR-Ausweis Gesamtansicht'!I30</f>
        <v>0</v>
      </c>
      <c r="J10" s="569">
        <f>'KTR-Ausweis Gesamtansicht'!J25+'KTR-Ausweis Gesamtansicht'!J26+'KTR-Ausweis Gesamtansicht'!J27+'KTR-Ausweis Gesamtansicht'!J28+'KTR-Ausweis Gesamtansicht'!J29+'KTR-Ausweis Gesamtansicht'!J30</f>
        <v>0</v>
      </c>
      <c r="K10" s="569">
        <f>SUM(I10+J10)</f>
        <v>0</v>
      </c>
      <c r="L10" s="247">
        <f>'KTR-Ausweis Gesamtansicht'!L25+'KTR-Ausweis Gesamtansicht'!L26+'KTR-Ausweis Gesamtansicht'!L27+'KTR-Ausweis Gesamtansicht'!L28+'KTR-Ausweis Gesamtansicht'!L29+'KTR-Ausweis Gesamtansicht'!L30</f>
        <v>0</v>
      </c>
      <c r="M10" s="247">
        <f>'KTR-Ausweis Gesamtansicht'!M25+'KTR-Ausweis Gesamtansicht'!M26+'KTR-Ausweis Gesamtansicht'!M27+'KTR-Ausweis Gesamtansicht'!M28+'KTR-Ausweis Gesamtansicht'!M29+'KTR-Ausweis Gesamtansicht'!M30</f>
        <v>0</v>
      </c>
      <c r="N10" s="569">
        <f>SUM(L10+M10)</f>
        <v>0</v>
      </c>
      <c r="O10" s="247">
        <f>'KTR-Ausweis Gesamtansicht'!O25+'KTR-Ausweis Gesamtansicht'!O26+'KTR-Ausweis Gesamtansicht'!O27+'KTR-Ausweis Gesamtansicht'!O28+'KTR-Ausweis Gesamtansicht'!O29+'KTR-Ausweis Gesamtansicht'!O30</f>
        <v>0</v>
      </c>
      <c r="P10" s="247">
        <f>'KTR-Ausweis Gesamtansicht'!P25+'KTR-Ausweis Gesamtansicht'!P26+'KTR-Ausweis Gesamtansicht'!P27+'KTR-Ausweis Gesamtansicht'!P28+'KTR-Ausweis Gesamtansicht'!P29+'KTR-Ausweis Gesamtansicht'!P30</f>
        <v>0</v>
      </c>
      <c r="Q10" s="247">
        <f>'KTR-Ausweis Gesamtansicht'!Q25+'KTR-Ausweis Gesamtansicht'!Q26+'KTR-Ausweis Gesamtansicht'!Q27+'KTR-Ausweis Gesamtansicht'!Q28+'KTR-Ausweis Gesamtansicht'!Q29+'KTR-Ausweis Gesamtansicht'!Q30</f>
        <v>0</v>
      </c>
      <c r="R10" s="368">
        <f>K10+N10+O10+P10+Q10</f>
        <v>0</v>
      </c>
      <c r="S10" s="247">
        <f>'KTR-Ausweis Gesamtansicht'!S25+'KTR-Ausweis Gesamtansicht'!S26+'KTR-Ausweis Gesamtansicht'!S27+'KTR-Ausweis Gesamtansicht'!S28+'KTR-Ausweis Gesamtansicht'!S29+'KTR-Ausweis Gesamtansicht'!S30</f>
        <v>0</v>
      </c>
      <c r="T10" s="569">
        <f>'KTR-Ausweis Gesamtansicht'!T25+'KTR-Ausweis Gesamtansicht'!T26+'KTR-Ausweis Gesamtansicht'!T27+'KTR-Ausweis Gesamtansicht'!T28+'KTR-Ausweis Gesamtansicht'!T29+'KTR-Ausweis Gesamtansicht'!T30</f>
        <v>0</v>
      </c>
      <c r="U10" s="569">
        <f>'KTR-Ausweis Gesamtansicht'!U25+'KTR-Ausweis Gesamtansicht'!U26+'KTR-Ausweis Gesamtansicht'!U27+'KTR-Ausweis Gesamtansicht'!U28+'KTR-Ausweis Gesamtansicht'!U29+'KTR-Ausweis Gesamtansicht'!U30</f>
        <v>0</v>
      </c>
      <c r="V10" s="569">
        <f>'KTR-Ausweis Gesamtansicht'!V25+'KTR-Ausweis Gesamtansicht'!V26+'KTR-Ausweis Gesamtansicht'!V27+'KTR-Ausweis Gesamtansicht'!V28+'KTR-Ausweis Gesamtansicht'!V29+'KTR-Ausweis Gesamtansicht'!V30</f>
        <v>0</v>
      </c>
      <c r="W10" s="569">
        <f>'KTR-Ausweis Gesamtansicht'!W25+'KTR-Ausweis Gesamtansicht'!W26+'KTR-Ausweis Gesamtansicht'!W27+'KTR-Ausweis Gesamtansicht'!W28+'KTR-Ausweis Gesamtansicht'!W29+'KTR-Ausweis Gesamtansicht'!W30</f>
        <v>0</v>
      </c>
      <c r="X10" s="569">
        <f>'KTR-Ausweis Gesamtansicht'!X25+'KTR-Ausweis Gesamtansicht'!X26+'KTR-Ausweis Gesamtansicht'!X27+'KTR-Ausweis Gesamtansicht'!X28+'KTR-Ausweis Gesamtansicht'!X29+'KTR-Ausweis Gesamtansicht'!X30</f>
        <v>0</v>
      </c>
      <c r="Y10" s="569">
        <f>'KTR-Ausweis Gesamtansicht'!Y25+'KTR-Ausweis Gesamtansicht'!Y26+'KTR-Ausweis Gesamtansicht'!Y27+'KTR-Ausweis Gesamtansicht'!Y28+'KTR-Ausweis Gesamtansicht'!Y29+'KTR-Ausweis Gesamtansicht'!Y30</f>
        <v>0</v>
      </c>
      <c r="Z10" s="569">
        <f>'KTR-Ausweis Gesamtansicht'!Z25+'KTR-Ausweis Gesamtansicht'!Z26+'KTR-Ausweis Gesamtansicht'!Z27+'KTR-Ausweis Gesamtansicht'!Z28+'KTR-Ausweis Gesamtansicht'!Z29+'KTR-Ausweis Gesamtansicht'!Z30</f>
        <v>0</v>
      </c>
      <c r="AA10" s="569">
        <f>'KTR-Ausweis Gesamtansicht'!AA25+'KTR-Ausweis Gesamtansicht'!AA26+'KTR-Ausweis Gesamtansicht'!AA27+'KTR-Ausweis Gesamtansicht'!AA28+'KTR-Ausweis Gesamtansicht'!AA29+'KTR-Ausweis Gesamtansicht'!AA30</f>
        <v>0</v>
      </c>
      <c r="AB10" s="569">
        <f>'KTR-Ausweis Gesamtansicht'!AB25+'KTR-Ausweis Gesamtansicht'!AB26+'KTR-Ausweis Gesamtansicht'!AB27+'KTR-Ausweis Gesamtansicht'!AB28+'KTR-Ausweis Gesamtansicht'!AB29+'KTR-Ausweis Gesamtansicht'!AB30</f>
        <v>0</v>
      </c>
      <c r="AC10" s="569">
        <f>'KTR-Ausweis Gesamtansicht'!AC25+'KTR-Ausweis Gesamtansicht'!AC26+'KTR-Ausweis Gesamtansicht'!AC27+'KTR-Ausweis Gesamtansicht'!AC28+'KTR-Ausweis Gesamtansicht'!AC29+'KTR-Ausweis Gesamtansicht'!AC30</f>
        <v>0</v>
      </c>
      <c r="AD10" s="569">
        <f>'KTR-Ausweis Gesamtansicht'!AD25+'KTR-Ausweis Gesamtansicht'!AD26+'KTR-Ausweis Gesamtansicht'!AD27+'KTR-Ausweis Gesamtansicht'!AD28+'KTR-Ausweis Gesamtansicht'!AD29+'KTR-Ausweis Gesamtansicht'!AD30</f>
        <v>0</v>
      </c>
      <c r="AE10" s="569">
        <f>'KTR-Ausweis Gesamtansicht'!AE25+'KTR-Ausweis Gesamtansicht'!AE26+'KTR-Ausweis Gesamtansicht'!AE27+'KTR-Ausweis Gesamtansicht'!AE28+'KTR-Ausweis Gesamtansicht'!AE29+'KTR-Ausweis Gesamtansicht'!AE30</f>
        <v>0</v>
      </c>
      <c r="AF10" s="569">
        <f>'KTR-Ausweis Gesamtansicht'!AF25+'KTR-Ausweis Gesamtansicht'!AF26+'KTR-Ausweis Gesamtansicht'!AF27+'KTR-Ausweis Gesamtansicht'!AF28+'KTR-Ausweis Gesamtansicht'!AF29+'KTR-Ausweis Gesamtansicht'!AF30</f>
        <v>0</v>
      </c>
      <c r="AG10" s="569">
        <f>'KTR-Ausweis Gesamtansicht'!AG25+'KTR-Ausweis Gesamtansicht'!AG26+'KTR-Ausweis Gesamtansicht'!AG27+'KTR-Ausweis Gesamtansicht'!AG28+'KTR-Ausweis Gesamtansicht'!AG29+'KTR-Ausweis Gesamtansicht'!AG30</f>
        <v>0</v>
      </c>
      <c r="AH10" s="569">
        <f>'KTR-Ausweis Gesamtansicht'!AH25+'KTR-Ausweis Gesamtansicht'!AH26+'KTR-Ausweis Gesamtansicht'!AH27+'KTR-Ausweis Gesamtansicht'!AH28+'KTR-Ausweis Gesamtansicht'!AH29+'KTR-Ausweis Gesamtansicht'!AH30</f>
        <v>0</v>
      </c>
      <c r="AI10" s="569">
        <f>'KTR-Ausweis Gesamtansicht'!AI25+'KTR-Ausweis Gesamtansicht'!AI26+'KTR-Ausweis Gesamtansicht'!AI27+'KTR-Ausweis Gesamtansicht'!AI28+'KTR-Ausweis Gesamtansicht'!AI29+'KTR-Ausweis Gesamtansicht'!AI30</f>
        <v>0</v>
      </c>
      <c r="AJ10" s="569">
        <f>'KTR-Ausweis Gesamtansicht'!AJ25+'KTR-Ausweis Gesamtansicht'!AJ26+'KTR-Ausweis Gesamtansicht'!AJ27+'KTR-Ausweis Gesamtansicht'!AJ28+'KTR-Ausweis Gesamtansicht'!AJ29+'KTR-Ausweis Gesamtansicht'!AJ30</f>
        <v>0</v>
      </c>
      <c r="AK10" s="569">
        <f>'KTR-Ausweis Gesamtansicht'!AK25+'KTR-Ausweis Gesamtansicht'!AK26+'KTR-Ausweis Gesamtansicht'!AK27+'KTR-Ausweis Gesamtansicht'!AK28+'KTR-Ausweis Gesamtansicht'!AK29+'KTR-Ausweis Gesamtansicht'!AK30</f>
        <v>0</v>
      </c>
      <c r="AL10" s="569">
        <f>'KTR-Ausweis Gesamtansicht'!AL25+'KTR-Ausweis Gesamtansicht'!AL26+'KTR-Ausweis Gesamtansicht'!AL27+'KTR-Ausweis Gesamtansicht'!AL28+'KTR-Ausweis Gesamtansicht'!AL29+'KTR-Ausweis Gesamtansicht'!AL30</f>
        <v>0</v>
      </c>
      <c r="AM10" s="569">
        <f>'KTR-Ausweis Gesamtansicht'!AM25+'KTR-Ausweis Gesamtansicht'!AM26+'KTR-Ausweis Gesamtansicht'!AM27+'KTR-Ausweis Gesamtansicht'!AM28+'KTR-Ausweis Gesamtansicht'!AM29+'KTR-Ausweis Gesamtansicht'!AM30</f>
        <v>0</v>
      </c>
      <c r="AN10" s="569">
        <f>'KTR-Ausweis Gesamtansicht'!AN25+'KTR-Ausweis Gesamtansicht'!AN26+'KTR-Ausweis Gesamtansicht'!AN27+'KTR-Ausweis Gesamtansicht'!AN28+'KTR-Ausweis Gesamtansicht'!AN29+'KTR-Ausweis Gesamtansicht'!AN30</f>
        <v>0</v>
      </c>
      <c r="AO10" s="569">
        <f>'KTR-Ausweis Gesamtansicht'!AO25+'KTR-Ausweis Gesamtansicht'!AO26+'KTR-Ausweis Gesamtansicht'!AO27+'KTR-Ausweis Gesamtansicht'!AO28+'KTR-Ausweis Gesamtansicht'!AO29+'KTR-Ausweis Gesamtansicht'!AO30</f>
        <v>0</v>
      </c>
      <c r="AP10" s="569">
        <f>'KTR-Ausweis Gesamtansicht'!AP25+'KTR-Ausweis Gesamtansicht'!AP26+'KTR-Ausweis Gesamtansicht'!AP27+'KTR-Ausweis Gesamtansicht'!AP28+'KTR-Ausweis Gesamtansicht'!AP29+'KTR-Ausweis Gesamtansicht'!AP30</f>
        <v>0</v>
      </c>
      <c r="AQ10" s="569">
        <f>'KTR-Ausweis Gesamtansicht'!AQ25+'KTR-Ausweis Gesamtansicht'!AQ26+'KTR-Ausweis Gesamtansicht'!AQ27+'KTR-Ausweis Gesamtansicht'!AQ28+'KTR-Ausweis Gesamtansicht'!AQ29+'KTR-Ausweis Gesamtansicht'!AQ30</f>
        <v>0</v>
      </c>
      <c r="AR10" s="569">
        <f>'KTR-Ausweis Gesamtansicht'!AR25+'KTR-Ausweis Gesamtansicht'!AR26+'KTR-Ausweis Gesamtansicht'!AR27+'KTR-Ausweis Gesamtansicht'!AR28+'KTR-Ausweis Gesamtansicht'!AR29+'KTR-Ausweis Gesamtansicht'!AR30</f>
        <v>0</v>
      </c>
      <c r="AS10" s="569">
        <f>'KTR-Ausweis Gesamtansicht'!AS25+'KTR-Ausweis Gesamtansicht'!AS26+'KTR-Ausweis Gesamtansicht'!AS27+'KTR-Ausweis Gesamtansicht'!AS28+'KTR-Ausweis Gesamtansicht'!AS29+'KTR-Ausweis Gesamtansicht'!AS30</f>
        <v>0</v>
      </c>
      <c r="AT10" s="569">
        <f>'KTR-Ausweis Gesamtansicht'!AT25+'KTR-Ausweis Gesamtansicht'!AT26+'KTR-Ausweis Gesamtansicht'!AT27+'KTR-Ausweis Gesamtansicht'!AT28+'KTR-Ausweis Gesamtansicht'!AT29+'KTR-Ausweis Gesamtansicht'!AT30</f>
        <v>0</v>
      </c>
      <c r="AU10" s="569">
        <f>'KTR-Ausweis Gesamtansicht'!AU25+'KTR-Ausweis Gesamtansicht'!AU26+'KTR-Ausweis Gesamtansicht'!AU27+'KTR-Ausweis Gesamtansicht'!AU28+'KTR-Ausweis Gesamtansicht'!AU29+'KTR-Ausweis Gesamtansicht'!AU30</f>
        <v>0</v>
      </c>
      <c r="AV10" s="569">
        <f>'KTR-Ausweis Gesamtansicht'!AV25+'KTR-Ausweis Gesamtansicht'!AV26+'KTR-Ausweis Gesamtansicht'!AV27+'KTR-Ausweis Gesamtansicht'!AV28+'KTR-Ausweis Gesamtansicht'!AV29+'KTR-Ausweis Gesamtansicht'!AV30</f>
        <v>0</v>
      </c>
      <c r="AW10" s="569">
        <f>'KTR-Ausweis Gesamtansicht'!AW25+'KTR-Ausweis Gesamtansicht'!AW26+'KTR-Ausweis Gesamtansicht'!AW27+'KTR-Ausweis Gesamtansicht'!AW28+'KTR-Ausweis Gesamtansicht'!AW29+'KTR-Ausweis Gesamtansicht'!AW30</f>
        <v>0</v>
      </c>
      <c r="AX10" s="569">
        <f>'KTR-Ausweis Gesamtansicht'!AX25+'KTR-Ausweis Gesamtansicht'!AX26+'KTR-Ausweis Gesamtansicht'!AX27+'KTR-Ausweis Gesamtansicht'!AX28+'KTR-Ausweis Gesamtansicht'!AX29+'KTR-Ausweis Gesamtansicht'!AX30</f>
        <v>0</v>
      </c>
      <c r="AY10" s="569">
        <f>'KTR-Ausweis Gesamtansicht'!AY25+'KTR-Ausweis Gesamtansicht'!AY26+'KTR-Ausweis Gesamtansicht'!AY27+'KTR-Ausweis Gesamtansicht'!AY28+'KTR-Ausweis Gesamtansicht'!AY29+'KTR-Ausweis Gesamtansicht'!AY30</f>
        <v>0</v>
      </c>
      <c r="AZ10" s="569">
        <f>'KTR-Ausweis Gesamtansicht'!AZ25+'KTR-Ausweis Gesamtansicht'!AZ26+'KTR-Ausweis Gesamtansicht'!AZ27+'KTR-Ausweis Gesamtansicht'!AZ28+'KTR-Ausweis Gesamtansicht'!AZ29+'KTR-Ausweis Gesamtansicht'!AZ30</f>
        <v>0</v>
      </c>
      <c r="BA10" s="569">
        <f>'KTR-Ausweis Gesamtansicht'!BA25+'KTR-Ausweis Gesamtansicht'!BA26+'KTR-Ausweis Gesamtansicht'!BA27+'KTR-Ausweis Gesamtansicht'!BA28+'KTR-Ausweis Gesamtansicht'!BA29+'KTR-Ausweis Gesamtansicht'!BA30</f>
        <v>0</v>
      </c>
      <c r="BB10" s="569">
        <f>'KTR-Ausweis Gesamtansicht'!BB25+'KTR-Ausweis Gesamtansicht'!BB26+'KTR-Ausweis Gesamtansicht'!BB27+'KTR-Ausweis Gesamtansicht'!BB28+'KTR-Ausweis Gesamtansicht'!BB29+'KTR-Ausweis Gesamtansicht'!BB30</f>
        <v>0</v>
      </c>
      <c r="BC10" s="569">
        <f>'KTR-Ausweis Gesamtansicht'!BC25+'KTR-Ausweis Gesamtansicht'!BC26+'KTR-Ausweis Gesamtansicht'!BC27+'KTR-Ausweis Gesamtansicht'!BC28+'KTR-Ausweis Gesamtansicht'!BC29+'KTR-Ausweis Gesamtansicht'!BC30</f>
        <v>0</v>
      </c>
      <c r="BD10" s="569">
        <f>'KTR-Ausweis Gesamtansicht'!BD25+'KTR-Ausweis Gesamtansicht'!BD26+'KTR-Ausweis Gesamtansicht'!BD27+'KTR-Ausweis Gesamtansicht'!BD28+'KTR-Ausweis Gesamtansicht'!BD29+'KTR-Ausweis Gesamtansicht'!BD30</f>
        <v>0</v>
      </c>
      <c r="BE10" s="569">
        <f>'KTR-Ausweis Gesamtansicht'!BE25+'KTR-Ausweis Gesamtansicht'!BE26+'KTR-Ausweis Gesamtansicht'!BE27+'KTR-Ausweis Gesamtansicht'!BE28+'KTR-Ausweis Gesamtansicht'!BE29+'KTR-Ausweis Gesamtansicht'!BE30</f>
        <v>0</v>
      </c>
      <c r="BF10" s="368">
        <f>SUM(S10:BE10)</f>
        <v>0</v>
      </c>
      <c r="BG10" s="247">
        <f>'KTR-Ausweis Gesamtansicht'!BG25+'KTR-Ausweis Gesamtansicht'!BG26+'KTR-Ausweis Gesamtansicht'!BG27+'KTR-Ausweis Gesamtansicht'!BG28+'KTR-Ausweis Gesamtansicht'!BG29+'KTR-Ausweis Gesamtansicht'!BG30</f>
        <v>0</v>
      </c>
      <c r="BH10" s="569">
        <f>'KTR-Ausweis Gesamtansicht'!BH25+'KTR-Ausweis Gesamtansicht'!BH26+'KTR-Ausweis Gesamtansicht'!BH27+'KTR-Ausweis Gesamtansicht'!BH28+'KTR-Ausweis Gesamtansicht'!BH29+'KTR-Ausweis Gesamtansicht'!BH30</f>
        <v>0</v>
      </c>
      <c r="BI10" s="569">
        <f>'KTR-Ausweis Gesamtansicht'!BI25+'KTR-Ausweis Gesamtansicht'!BI26+'KTR-Ausweis Gesamtansicht'!BI27+'KTR-Ausweis Gesamtansicht'!BI28+'KTR-Ausweis Gesamtansicht'!BI29+'KTR-Ausweis Gesamtansicht'!BI30</f>
        <v>0</v>
      </c>
      <c r="BJ10" s="569">
        <f>'KTR-Ausweis Gesamtansicht'!BJ25+'KTR-Ausweis Gesamtansicht'!BJ26+'KTR-Ausweis Gesamtansicht'!BJ27+'KTR-Ausweis Gesamtansicht'!BJ28+'KTR-Ausweis Gesamtansicht'!BJ29+'KTR-Ausweis Gesamtansicht'!BJ30</f>
        <v>0</v>
      </c>
      <c r="BK10" s="569">
        <f>'KTR-Ausweis Gesamtansicht'!BK25+'KTR-Ausweis Gesamtansicht'!BK26+'KTR-Ausweis Gesamtansicht'!BK27+'KTR-Ausweis Gesamtansicht'!BK28+'KTR-Ausweis Gesamtansicht'!BK29+'KTR-Ausweis Gesamtansicht'!BK30</f>
        <v>0</v>
      </c>
      <c r="BL10" s="569">
        <f>'KTR-Ausweis Gesamtansicht'!BL25+'KTR-Ausweis Gesamtansicht'!BL26+'KTR-Ausweis Gesamtansicht'!BL27+'KTR-Ausweis Gesamtansicht'!BL28+'KTR-Ausweis Gesamtansicht'!BL29+'KTR-Ausweis Gesamtansicht'!BL30</f>
        <v>0</v>
      </c>
      <c r="BM10" s="569">
        <f>'KTR-Ausweis Gesamtansicht'!BM25+'KTR-Ausweis Gesamtansicht'!BM26+'KTR-Ausweis Gesamtansicht'!BM27+'KTR-Ausweis Gesamtansicht'!BM28+'KTR-Ausweis Gesamtansicht'!BM29+'KTR-Ausweis Gesamtansicht'!BM30</f>
        <v>0</v>
      </c>
      <c r="BN10" s="569">
        <f>'KTR-Ausweis Gesamtansicht'!BN25+'KTR-Ausweis Gesamtansicht'!BN26+'KTR-Ausweis Gesamtansicht'!BN27+'KTR-Ausweis Gesamtansicht'!BN28+'KTR-Ausweis Gesamtansicht'!BN29+'KTR-Ausweis Gesamtansicht'!BN30</f>
        <v>0</v>
      </c>
      <c r="BO10" s="569">
        <f>'KTR-Ausweis Gesamtansicht'!BO25+'KTR-Ausweis Gesamtansicht'!BO26+'KTR-Ausweis Gesamtansicht'!BO27+'KTR-Ausweis Gesamtansicht'!BO28+'KTR-Ausweis Gesamtansicht'!BO29+'KTR-Ausweis Gesamtansicht'!BO30</f>
        <v>0</v>
      </c>
      <c r="BP10" s="569">
        <f>'KTR-Ausweis Gesamtansicht'!BP25+'KTR-Ausweis Gesamtansicht'!BP26+'KTR-Ausweis Gesamtansicht'!BP27+'KTR-Ausweis Gesamtansicht'!BP28+'KTR-Ausweis Gesamtansicht'!BP29+'KTR-Ausweis Gesamtansicht'!BP30</f>
        <v>0</v>
      </c>
      <c r="BQ10" s="569">
        <f>'KTR-Ausweis Gesamtansicht'!BQ25+'KTR-Ausweis Gesamtansicht'!BQ26+'KTR-Ausweis Gesamtansicht'!BQ27+'KTR-Ausweis Gesamtansicht'!BQ28+'KTR-Ausweis Gesamtansicht'!BQ29+'KTR-Ausweis Gesamtansicht'!BQ30</f>
        <v>0</v>
      </c>
      <c r="BR10" s="569">
        <f>'KTR-Ausweis Gesamtansicht'!BR25+'KTR-Ausweis Gesamtansicht'!BR26+'KTR-Ausweis Gesamtansicht'!BR27+'KTR-Ausweis Gesamtansicht'!BR28+'KTR-Ausweis Gesamtansicht'!BR29+'KTR-Ausweis Gesamtansicht'!BR30</f>
        <v>0</v>
      </c>
      <c r="BS10" s="368">
        <f t="shared" si="4"/>
        <v>0</v>
      </c>
      <c r="BT10" s="247">
        <f>'KTR-Ausweis Gesamtansicht'!BT25+'KTR-Ausweis Gesamtansicht'!BT26+'KTR-Ausweis Gesamtansicht'!BT27+'KTR-Ausweis Gesamtansicht'!BT28+'KTR-Ausweis Gesamtansicht'!BT29+'KTR-Ausweis Gesamtansicht'!BT30</f>
        <v>0</v>
      </c>
      <c r="BU10" s="247">
        <f>'KTR-Ausweis Gesamtansicht'!BU25+'KTR-Ausweis Gesamtansicht'!BU26+'KTR-Ausweis Gesamtansicht'!BU27+'KTR-Ausweis Gesamtansicht'!BU28+'KTR-Ausweis Gesamtansicht'!BU29+'KTR-Ausweis Gesamtansicht'!BU30</f>
        <v>0</v>
      </c>
      <c r="BV10" s="247">
        <f>'KTR-Ausweis Gesamtansicht'!BV25+'KTR-Ausweis Gesamtansicht'!BV26+'KTR-Ausweis Gesamtansicht'!BV27+'KTR-Ausweis Gesamtansicht'!BV28+'KTR-Ausweis Gesamtansicht'!BV29+'KTR-Ausweis Gesamtansicht'!BV30</f>
        <v>0</v>
      </c>
      <c r="BW10" s="368">
        <f t="shared" si="0"/>
        <v>0</v>
      </c>
      <c r="BX10" s="247">
        <f>+'KTR-Ausweis Gesamtansicht'!BX25+'KTR-Ausweis Gesamtansicht'!BX27+'KTR-Ausweis Gesamtansicht'!BX29+'KTR-Ausweis Gesamtansicht'!BX30</f>
        <v>0</v>
      </c>
      <c r="BY10" s="247">
        <f>+'KTR-Ausweis Gesamtansicht'!BY25+'KTR-Ausweis Gesamtansicht'!BY27+'KTR-Ausweis Gesamtansicht'!BY29+'KTR-Ausweis Gesamtansicht'!BY30</f>
        <v>0</v>
      </c>
      <c r="BZ10" s="247">
        <f>+'KTR-Ausweis Gesamtansicht'!BZ25+'KTR-Ausweis Gesamtansicht'!BZ27+'KTR-Ausweis Gesamtansicht'!BZ29+'KTR-Ausweis Gesamtansicht'!BZ30</f>
        <v>0</v>
      </c>
      <c r="CA10" s="247">
        <f>+'KTR-Ausweis Gesamtansicht'!CA25+'KTR-Ausweis Gesamtansicht'!CA27+'KTR-Ausweis Gesamtansicht'!CA29+'KTR-Ausweis Gesamtansicht'!CA30</f>
        <v>0</v>
      </c>
      <c r="CB10" s="247">
        <f>+'KTR-Ausweis Gesamtansicht'!CB25+'KTR-Ausweis Gesamtansicht'!CB27+'KTR-Ausweis Gesamtansicht'!CB29+'KTR-Ausweis Gesamtansicht'!CB30</f>
        <v>0</v>
      </c>
      <c r="CC10" s="247">
        <f>+'KTR-Ausweis Gesamtansicht'!CC25+'KTR-Ausweis Gesamtansicht'!CC27+'KTR-Ausweis Gesamtansicht'!CC29+'KTR-Ausweis Gesamtansicht'!CC30</f>
        <v>0</v>
      </c>
      <c r="CD10" s="247">
        <f>+'KTR-Ausweis Gesamtansicht'!CD25+'KTR-Ausweis Gesamtansicht'!CD27+'KTR-Ausweis Gesamtansicht'!CD29+'KTR-Ausweis Gesamtansicht'!CD30</f>
        <v>0</v>
      </c>
      <c r="CE10" s="248">
        <f t="shared" si="1"/>
        <v>0</v>
      </c>
      <c r="CF10" s="247">
        <f>'KTR-Ausweis Gesamtansicht'!CF25+'KTR-Ausweis Gesamtansicht'!CF26+'KTR-Ausweis Gesamtansicht'!CF27+'KTR-Ausweis Gesamtansicht'!CF28+'KTR-Ausweis Gesamtansicht'!CF29+'KTR-Ausweis Gesamtansicht'!CF30</f>
        <v>0</v>
      </c>
      <c r="CG10" s="569">
        <f>'KTR-Ausweis Gesamtansicht'!CG25+'KTR-Ausweis Gesamtansicht'!CG26+'KTR-Ausweis Gesamtansicht'!CG27+'KTR-Ausweis Gesamtansicht'!CG28+'KTR-Ausweis Gesamtansicht'!CG29+'KTR-Ausweis Gesamtansicht'!CG30</f>
        <v>0</v>
      </c>
      <c r="CH10" s="247">
        <f>'KTR-Ausweis Gesamtansicht'!CH25+'KTR-Ausweis Gesamtansicht'!CH26+'KTR-Ausweis Gesamtansicht'!CH27+'KTR-Ausweis Gesamtansicht'!CH28+'KTR-Ausweis Gesamtansicht'!CH29+'KTR-Ausweis Gesamtansicht'!CH30</f>
        <v>0</v>
      </c>
      <c r="CI10" s="368">
        <f t="shared" si="2"/>
        <v>0</v>
      </c>
      <c r="CJ10" s="249"/>
      <c r="CK10" s="595">
        <f>'KTR-Ausweis Gesamtansicht'!CK25+'KTR-Ausweis Gesamtansicht'!CK26+'KTR-Ausweis Gesamtansicht'!CK27+'KTR-Ausweis Gesamtansicht'!CK28+'KTR-Ausweis Gesamtansicht'!CK29+'KTR-Ausweis Gesamtansicht'!CK30</f>
        <v>0</v>
      </c>
      <c r="CL10" s="595">
        <f>'KTR-Ausweis Gesamtansicht'!CL25+'KTR-Ausweis Gesamtansicht'!CL26+'KTR-Ausweis Gesamtansicht'!CL27+'KTR-Ausweis Gesamtansicht'!CL28+'KTR-Ausweis Gesamtansicht'!CL29+'KTR-Ausweis Gesamtansicht'!CL30</f>
        <v>0</v>
      </c>
      <c r="CM10" s="595">
        <f>'KTR-Ausweis Gesamtansicht'!CM25+'KTR-Ausweis Gesamtansicht'!CM26+'KTR-Ausweis Gesamtansicht'!CM27+'KTR-Ausweis Gesamtansicht'!CM28+'KTR-Ausweis Gesamtansicht'!CM29+'KTR-Ausweis Gesamtansicht'!CM30</f>
        <v>0</v>
      </c>
      <c r="CN10" s="595">
        <f>'KTR-Ausweis Gesamtansicht'!CN25+'KTR-Ausweis Gesamtansicht'!CN26+'KTR-Ausweis Gesamtansicht'!CN27+'KTR-Ausweis Gesamtansicht'!CN28+'KTR-Ausweis Gesamtansicht'!CN29+'KTR-Ausweis Gesamtansicht'!CN30</f>
        <v>0</v>
      </c>
      <c r="CO10" s="595">
        <f>'KTR-Ausweis Gesamtansicht'!CO25+'KTR-Ausweis Gesamtansicht'!CO26+'KTR-Ausweis Gesamtansicht'!CO27+'KTR-Ausweis Gesamtansicht'!CO28+'KTR-Ausweis Gesamtansicht'!CO29+'KTR-Ausweis Gesamtansicht'!CO30</f>
        <v>0</v>
      </c>
      <c r="CP10" s="596">
        <f>'KTR-Ausweis Gesamtansicht'!CP25+'KTR-Ausweis Gesamtansicht'!CP26+'KTR-Ausweis Gesamtansicht'!CP27+'KTR-Ausweis Gesamtansicht'!CP28+'KTR-Ausweis Gesamtansicht'!CP29+'KTR-Ausweis Gesamtansicht'!CP30</f>
        <v>0</v>
      </c>
      <c r="CQ10" s="595">
        <f>'KTR-Ausweis Gesamtansicht'!CQ25+'KTR-Ausweis Gesamtansicht'!CQ26+'KTR-Ausweis Gesamtansicht'!CQ27+'KTR-Ausweis Gesamtansicht'!CQ28+'KTR-Ausweis Gesamtansicht'!CQ29+'KTR-Ausweis Gesamtansicht'!CQ30</f>
        <v>0</v>
      </c>
      <c r="CR10" s="597">
        <f>'KTR-Ausweis Gesamtansicht'!CR25+'KTR-Ausweis Gesamtansicht'!CR26+'KTR-Ausweis Gesamtansicht'!CR27+'KTR-Ausweis Gesamtansicht'!CR28+'KTR-Ausweis Gesamtansicht'!CR29+'KTR-Ausweis Gesamtansicht'!CR30</f>
        <v>0</v>
      </c>
      <c r="CS10" s="596">
        <f>'KTR-Ausweis Gesamtansicht'!CS25+'KTR-Ausweis Gesamtansicht'!CS26+'KTR-Ausweis Gesamtansicht'!CS27+'KTR-Ausweis Gesamtansicht'!CS28+'KTR-Ausweis Gesamtansicht'!CS29+'KTR-Ausweis Gesamtansicht'!CS30</f>
        <v>0</v>
      </c>
      <c r="CT10" s="596">
        <f>'KTR-Ausweis Gesamtansicht'!CT25+'KTR-Ausweis Gesamtansicht'!CT26+'KTR-Ausweis Gesamtansicht'!CT27+'KTR-Ausweis Gesamtansicht'!CT28+'KTR-Ausweis Gesamtansicht'!CT29+'KTR-Ausweis Gesamtansicht'!CT30</f>
        <v>0</v>
      </c>
      <c r="CU10" s="596">
        <f>'KTR-Ausweis Gesamtansicht'!CU25+'KTR-Ausweis Gesamtansicht'!CU26+'KTR-Ausweis Gesamtansicht'!CU27+'KTR-Ausweis Gesamtansicht'!CU28+'KTR-Ausweis Gesamtansicht'!CU29+'KTR-Ausweis Gesamtansicht'!CU30</f>
        <v>0</v>
      </c>
      <c r="CV10" s="594">
        <f>SUM(CK10:CU10)-CH10+'KTR-Ausweis Gesamtansicht'!CV25+'KTR-Ausweis Gesamtansicht'!CV27+'KTR-Ausweis Gesamtansicht'!CV29+'KTR-Ausweis Gesamtansicht'!CV30</f>
        <v>0</v>
      </c>
      <c r="CW10" s="431"/>
      <c r="CX10" s="431"/>
      <c r="CY10" s="431"/>
    </row>
    <row r="11" spans="1:103">
      <c r="A11" s="621" t="s">
        <v>73</v>
      </c>
      <c r="B11" s="94" t="s">
        <v>111</v>
      </c>
      <c r="C11" s="1044"/>
      <c r="D11" s="1045"/>
      <c r="E11" s="346">
        <f t="shared" si="3"/>
        <v>0</v>
      </c>
      <c r="F11" s="1050"/>
      <c r="G11" s="1052"/>
      <c r="H11" s="1052"/>
      <c r="I11" s="247">
        <f>+'KTR-Ausweis Gesamtansicht'!I35+'KTR-Ausweis Gesamtansicht'!I36+'KTR-Ausweis Gesamtansicht'!I37</f>
        <v>0</v>
      </c>
      <c r="J11" s="247">
        <f>+'KTR-Ausweis Gesamtansicht'!J35+'KTR-Ausweis Gesamtansicht'!J36+'KTR-Ausweis Gesamtansicht'!J37</f>
        <v>0</v>
      </c>
      <c r="K11" s="569">
        <f>SUM(I11+J11)</f>
        <v>0</v>
      </c>
      <c r="L11" s="247">
        <f>SUM('KTR-Ausweis Gesamtansicht'!L35:L37)</f>
        <v>0</v>
      </c>
      <c r="M11" s="247">
        <f>SUM('KTR-Ausweis Gesamtansicht'!M35:M37)</f>
        <v>0</v>
      </c>
      <c r="N11" s="569">
        <f>SUM(L11+M11)</f>
        <v>0</v>
      </c>
      <c r="O11" s="247">
        <f>+'KTR-Ausweis Gesamtansicht'!O35+'KTR-Ausweis Gesamtansicht'!O36+'KTR-Ausweis Gesamtansicht'!O37</f>
        <v>0</v>
      </c>
      <c r="P11" s="247">
        <f>+'KTR-Ausweis Gesamtansicht'!P35+'KTR-Ausweis Gesamtansicht'!P36+'KTR-Ausweis Gesamtansicht'!P37</f>
        <v>0</v>
      </c>
      <c r="Q11" s="247">
        <f>+'KTR-Ausweis Gesamtansicht'!Q35+'KTR-Ausweis Gesamtansicht'!Q36+'KTR-Ausweis Gesamtansicht'!Q37</f>
        <v>0</v>
      </c>
      <c r="R11" s="368">
        <f>K11+N11+O11+P11+Q11</f>
        <v>0</v>
      </c>
      <c r="S11" s="247">
        <f>+'KTR-Ausweis Gesamtansicht'!S35+'KTR-Ausweis Gesamtansicht'!S36+'KTR-Ausweis Gesamtansicht'!S37</f>
        <v>0</v>
      </c>
      <c r="T11" s="247">
        <f>+'KTR-Ausweis Gesamtansicht'!T35+'KTR-Ausweis Gesamtansicht'!T36+'KTR-Ausweis Gesamtansicht'!T37</f>
        <v>0</v>
      </c>
      <c r="U11" s="247">
        <f>+'KTR-Ausweis Gesamtansicht'!U35+'KTR-Ausweis Gesamtansicht'!U36+'KTR-Ausweis Gesamtansicht'!U37</f>
        <v>0</v>
      </c>
      <c r="V11" s="247">
        <f>+'KTR-Ausweis Gesamtansicht'!V35+'KTR-Ausweis Gesamtansicht'!V36+'KTR-Ausweis Gesamtansicht'!V37</f>
        <v>0</v>
      </c>
      <c r="W11" s="247">
        <f>+'KTR-Ausweis Gesamtansicht'!W35+'KTR-Ausweis Gesamtansicht'!W36+'KTR-Ausweis Gesamtansicht'!W37</f>
        <v>0</v>
      </c>
      <c r="X11" s="247">
        <f>+'KTR-Ausweis Gesamtansicht'!X35+'KTR-Ausweis Gesamtansicht'!X36+'KTR-Ausweis Gesamtansicht'!X37</f>
        <v>0</v>
      </c>
      <c r="Y11" s="247">
        <f>+'KTR-Ausweis Gesamtansicht'!Y35+'KTR-Ausweis Gesamtansicht'!Y36+'KTR-Ausweis Gesamtansicht'!Y37</f>
        <v>0</v>
      </c>
      <c r="Z11" s="247">
        <f>+'KTR-Ausweis Gesamtansicht'!Z35+'KTR-Ausweis Gesamtansicht'!Z36+'KTR-Ausweis Gesamtansicht'!Z37</f>
        <v>0</v>
      </c>
      <c r="AA11" s="247">
        <f>+'KTR-Ausweis Gesamtansicht'!AA35+'KTR-Ausweis Gesamtansicht'!AA36+'KTR-Ausweis Gesamtansicht'!AA37</f>
        <v>0</v>
      </c>
      <c r="AB11" s="247">
        <f>+'KTR-Ausweis Gesamtansicht'!AB35+'KTR-Ausweis Gesamtansicht'!AB36+'KTR-Ausweis Gesamtansicht'!AB37</f>
        <v>0</v>
      </c>
      <c r="AC11" s="247">
        <f>+'KTR-Ausweis Gesamtansicht'!AC35+'KTR-Ausweis Gesamtansicht'!AC36+'KTR-Ausweis Gesamtansicht'!AC37</f>
        <v>0</v>
      </c>
      <c r="AD11" s="247">
        <f>+'KTR-Ausweis Gesamtansicht'!AD35+'KTR-Ausweis Gesamtansicht'!AD36+'KTR-Ausweis Gesamtansicht'!AD37</f>
        <v>0</v>
      </c>
      <c r="AE11" s="247">
        <f>+'KTR-Ausweis Gesamtansicht'!AE35+'KTR-Ausweis Gesamtansicht'!AE36+'KTR-Ausweis Gesamtansicht'!AE37</f>
        <v>0</v>
      </c>
      <c r="AF11" s="247">
        <f>+'KTR-Ausweis Gesamtansicht'!AF35+'KTR-Ausweis Gesamtansicht'!AF36+'KTR-Ausweis Gesamtansicht'!AF37</f>
        <v>0</v>
      </c>
      <c r="AG11" s="247">
        <f>+'KTR-Ausweis Gesamtansicht'!AG35+'KTR-Ausweis Gesamtansicht'!AG36+'KTR-Ausweis Gesamtansicht'!AG37</f>
        <v>0</v>
      </c>
      <c r="AH11" s="247">
        <f>+'KTR-Ausweis Gesamtansicht'!AH35+'KTR-Ausweis Gesamtansicht'!AH36+'KTR-Ausweis Gesamtansicht'!AH37</f>
        <v>0</v>
      </c>
      <c r="AI11" s="247">
        <f>+'KTR-Ausweis Gesamtansicht'!AI35+'KTR-Ausweis Gesamtansicht'!AI36+'KTR-Ausweis Gesamtansicht'!AI37</f>
        <v>0</v>
      </c>
      <c r="AJ11" s="247">
        <f>+'KTR-Ausweis Gesamtansicht'!AJ35+'KTR-Ausweis Gesamtansicht'!AJ36+'KTR-Ausweis Gesamtansicht'!AJ37</f>
        <v>0</v>
      </c>
      <c r="AK11" s="247">
        <f>+'KTR-Ausweis Gesamtansicht'!AK35+'KTR-Ausweis Gesamtansicht'!AK36+'KTR-Ausweis Gesamtansicht'!AK37</f>
        <v>0</v>
      </c>
      <c r="AL11" s="247">
        <f>+'KTR-Ausweis Gesamtansicht'!AL35+'KTR-Ausweis Gesamtansicht'!AL36+'KTR-Ausweis Gesamtansicht'!AL37</f>
        <v>0</v>
      </c>
      <c r="AM11" s="247">
        <f>+'KTR-Ausweis Gesamtansicht'!AM35+'KTR-Ausweis Gesamtansicht'!AM36+'KTR-Ausweis Gesamtansicht'!AM37</f>
        <v>0</v>
      </c>
      <c r="AN11" s="247">
        <f>+'KTR-Ausweis Gesamtansicht'!AN35+'KTR-Ausweis Gesamtansicht'!AN36+'KTR-Ausweis Gesamtansicht'!AN37</f>
        <v>0</v>
      </c>
      <c r="AO11" s="247">
        <f>+'KTR-Ausweis Gesamtansicht'!AO35+'KTR-Ausweis Gesamtansicht'!AO36+'KTR-Ausweis Gesamtansicht'!AO37</f>
        <v>0</v>
      </c>
      <c r="AP11" s="247">
        <f>+'KTR-Ausweis Gesamtansicht'!AP35+'KTR-Ausweis Gesamtansicht'!AP36+'KTR-Ausweis Gesamtansicht'!AP37</f>
        <v>0</v>
      </c>
      <c r="AQ11" s="569">
        <f>+'KTR-Ausweis Gesamtansicht'!AQ35+'KTR-Ausweis Gesamtansicht'!AQ36+'KTR-Ausweis Gesamtansicht'!AQ37</f>
        <v>0</v>
      </c>
      <c r="AR11" s="569">
        <f>+'KTR-Ausweis Gesamtansicht'!AR35+'KTR-Ausweis Gesamtansicht'!AR36+'KTR-Ausweis Gesamtansicht'!AR37</f>
        <v>0</v>
      </c>
      <c r="AS11" s="569">
        <f>+'KTR-Ausweis Gesamtansicht'!AS35+'KTR-Ausweis Gesamtansicht'!AS36+'KTR-Ausweis Gesamtansicht'!AS37</f>
        <v>0</v>
      </c>
      <c r="AT11" s="569">
        <f>+'KTR-Ausweis Gesamtansicht'!AT35+'KTR-Ausweis Gesamtansicht'!AT36+'KTR-Ausweis Gesamtansicht'!AT37</f>
        <v>0</v>
      </c>
      <c r="AU11" s="569">
        <f>+'KTR-Ausweis Gesamtansicht'!AU35+'KTR-Ausweis Gesamtansicht'!AU36+'KTR-Ausweis Gesamtansicht'!AU37</f>
        <v>0</v>
      </c>
      <c r="AV11" s="569">
        <f>+'KTR-Ausweis Gesamtansicht'!AV35+'KTR-Ausweis Gesamtansicht'!AV36+'KTR-Ausweis Gesamtansicht'!AV37</f>
        <v>0</v>
      </c>
      <c r="AW11" s="569">
        <f>+'KTR-Ausweis Gesamtansicht'!AW35+'KTR-Ausweis Gesamtansicht'!AW36+'KTR-Ausweis Gesamtansicht'!AW37</f>
        <v>0</v>
      </c>
      <c r="AX11" s="569">
        <f>+'KTR-Ausweis Gesamtansicht'!AX35+'KTR-Ausweis Gesamtansicht'!AX36+'KTR-Ausweis Gesamtansicht'!AX37</f>
        <v>0</v>
      </c>
      <c r="AY11" s="569">
        <f>+'KTR-Ausweis Gesamtansicht'!AY35+'KTR-Ausweis Gesamtansicht'!AY36+'KTR-Ausweis Gesamtansicht'!AY37</f>
        <v>0</v>
      </c>
      <c r="AZ11" s="569">
        <f>+'KTR-Ausweis Gesamtansicht'!AZ35+'KTR-Ausweis Gesamtansicht'!AZ36+'KTR-Ausweis Gesamtansicht'!AZ37</f>
        <v>0</v>
      </c>
      <c r="BA11" s="569">
        <f>+'KTR-Ausweis Gesamtansicht'!BA35+'KTR-Ausweis Gesamtansicht'!BA36+'KTR-Ausweis Gesamtansicht'!BA37</f>
        <v>0</v>
      </c>
      <c r="BB11" s="569">
        <f>+'KTR-Ausweis Gesamtansicht'!BB35+'KTR-Ausweis Gesamtansicht'!BB36+'KTR-Ausweis Gesamtansicht'!BB37</f>
        <v>0</v>
      </c>
      <c r="BC11" s="569">
        <f>+'KTR-Ausweis Gesamtansicht'!BC35+'KTR-Ausweis Gesamtansicht'!BC36+'KTR-Ausweis Gesamtansicht'!BC37</f>
        <v>0</v>
      </c>
      <c r="BD11" s="247">
        <f>+'KTR-Ausweis Gesamtansicht'!BD35+'KTR-Ausweis Gesamtansicht'!BD36+'KTR-Ausweis Gesamtansicht'!BD37</f>
        <v>0</v>
      </c>
      <c r="BE11" s="247">
        <f>+'KTR-Ausweis Gesamtansicht'!BE35+'KTR-Ausweis Gesamtansicht'!BE36+'KTR-Ausweis Gesamtansicht'!BE37</f>
        <v>0</v>
      </c>
      <c r="BF11" s="368">
        <f>SUM(S11:BE11)</f>
        <v>0</v>
      </c>
      <c r="BG11" s="247">
        <f>+'KTR-Ausweis Gesamtansicht'!BG35+'KTR-Ausweis Gesamtansicht'!BG36+'KTR-Ausweis Gesamtansicht'!BG37</f>
        <v>0</v>
      </c>
      <c r="BH11" s="247">
        <f>+'KTR-Ausweis Gesamtansicht'!BH35+'KTR-Ausweis Gesamtansicht'!BH36+'KTR-Ausweis Gesamtansicht'!BH37</f>
        <v>0</v>
      </c>
      <c r="BI11" s="247">
        <f>+'KTR-Ausweis Gesamtansicht'!BI35+'KTR-Ausweis Gesamtansicht'!BI36+'KTR-Ausweis Gesamtansicht'!BI37</f>
        <v>0</v>
      </c>
      <c r="BJ11" s="247">
        <f>+'KTR-Ausweis Gesamtansicht'!BJ35+'KTR-Ausweis Gesamtansicht'!BJ36+'KTR-Ausweis Gesamtansicht'!BJ37</f>
        <v>0</v>
      </c>
      <c r="BK11" s="247">
        <f>+'KTR-Ausweis Gesamtansicht'!BK35+'KTR-Ausweis Gesamtansicht'!BK36+'KTR-Ausweis Gesamtansicht'!BK37</f>
        <v>0</v>
      </c>
      <c r="BL11" s="247">
        <f>+'KTR-Ausweis Gesamtansicht'!BL35+'KTR-Ausweis Gesamtansicht'!BL36+'KTR-Ausweis Gesamtansicht'!BL37</f>
        <v>0</v>
      </c>
      <c r="BM11" s="247">
        <f>+'KTR-Ausweis Gesamtansicht'!BM35+'KTR-Ausweis Gesamtansicht'!BM36+'KTR-Ausweis Gesamtansicht'!BM37</f>
        <v>0</v>
      </c>
      <c r="BN11" s="247">
        <f>+'KTR-Ausweis Gesamtansicht'!BN35+'KTR-Ausweis Gesamtansicht'!BN36+'KTR-Ausweis Gesamtansicht'!BN37</f>
        <v>0</v>
      </c>
      <c r="BO11" s="247">
        <f>+'KTR-Ausweis Gesamtansicht'!BO35+'KTR-Ausweis Gesamtansicht'!BO36+'KTR-Ausweis Gesamtansicht'!BO37</f>
        <v>0</v>
      </c>
      <c r="BP11" s="247">
        <f>+'KTR-Ausweis Gesamtansicht'!BP35+'KTR-Ausweis Gesamtansicht'!BP36+'KTR-Ausweis Gesamtansicht'!BP37</f>
        <v>0</v>
      </c>
      <c r="BQ11" s="247">
        <f>+'KTR-Ausweis Gesamtansicht'!BQ35+'KTR-Ausweis Gesamtansicht'!BQ36+'KTR-Ausweis Gesamtansicht'!BQ37</f>
        <v>0</v>
      </c>
      <c r="BR11" s="247">
        <f>+'KTR-Ausweis Gesamtansicht'!BR35+'KTR-Ausweis Gesamtansicht'!BR36+'KTR-Ausweis Gesamtansicht'!BR37</f>
        <v>0</v>
      </c>
      <c r="BS11" s="368">
        <f t="shared" si="4"/>
        <v>0</v>
      </c>
      <c r="BT11" s="247">
        <f>+'KTR-Ausweis Gesamtansicht'!BT35+'KTR-Ausweis Gesamtansicht'!BT36+'KTR-Ausweis Gesamtansicht'!BT37</f>
        <v>0</v>
      </c>
      <c r="BU11" s="247">
        <f>+'KTR-Ausweis Gesamtansicht'!BU35+'KTR-Ausweis Gesamtansicht'!BU36+'KTR-Ausweis Gesamtansicht'!BU37</f>
        <v>0</v>
      </c>
      <c r="BV11" s="247">
        <f>+'KTR-Ausweis Gesamtansicht'!BV35+'KTR-Ausweis Gesamtansicht'!BV36+'KTR-Ausweis Gesamtansicht'!BV37</f>
        <v>0</v>
      </c>
      <c r="BW11" s="368">
        <f t="shared" si="0"/>
        <v>0</v>
      </c>
      <c r="BX11" s="247">
        <f>+'KTR-Ausweis Gesamtansicht'!BX35+'KTR-Ausweis Gesamtansicht'!BX36+'KTR-Ausweis Gesamtansicht'!BX37</f>
        <v>0</v>
      </c>
      <c r="BY11" s="247">
        <f>+'KTR-Ausweis Gesamtansicht'!BY35+'KTR-Ausweis Gesamtansicht'!BY36+'KTR-Ausweis Gesamtansicht'!BY37</f>
        <v>0</v>
      </c>
      <c r="BZ11" s="247">
        <f>+'KTR-Ausweis Gesamtansicht'!BZ35+'KTR-Ausweis Gesamtansicht'!BZ36+'KTR-Ausweis Gesamtansicht'!BZ37</f>
        <v>0</v>
      </c>
      <c r="CA11" s="247">
        <f>+'KTR-Ausweis Gesamtansicht'!CA35+'KTR-Ausweis Gesamtansicht'!CA36+'KTR-Ausweis Gesamtansicht'!CA37</f>
        <v>0</v>
      </c>
      <c r="CB11" s="247">
        <f>+'KTR-Ausweis Gesamtansicht'!CB35+'KTR-Ausweis Gesamtansicht'!CB36+'KTR-Ausweis Gesamtansicht'!CB37</f>
        <v>0</v>
      </c>
      <c r="CC11" s="247">
        <f>+'KTR-Ausweis Gesamtansicht'!CC35+'KTR-Ausweis Gesamtansicht'!CC36+'KTR-Ausweis Gesamtansicht'!CC37</f>
        <v>0</v>
      </c>
      <c r="CD11" s="247">
        <f>+'KTR-Ausweis Gesamtansicht'!CD35+'KTR-Ausweis Gesamtansicht'!CD36+'KTR-Ausweis Gesamtansicht'!CD37</f>
        <v>0</v>
      </c>
      <c r="CE11" s="248">
        <f t="shared" si="1"/>
        <v>0</v>
      </c>
      <c r="CF11" s="247">
        <f>+'KTR-Ausweis Gesamtansicht'!CF35+'KTR-Ausweis Gesamtansicht'!CF36+'KTR-Ausweis Gesamtansicht'!CF37</f>
        <v>0</v>
      </c>
      <c r="CG11" s="247">
        <f>+'KTR-Ausweis Gesamtansicht'!CG35+'KTR-Ausweis Gesamtansicht'!CG36+'KTR-Ausweis Gesamtansicht'!CG37</f>
        <v>0</v>
      </c>
      <c r="CH11" s="247">
        <f>+'KTR-Ausweis Gesamtansicht'!CH35+'KTR-Ausweis Gesamtansicht'!CH36+'KTR-Ausweis Gesamtansicht'!CH37</f>
        <v>0</v>
      </c>
      <c r="CI11" s="368">
        <f t="shared" si="2"/>
        <v>0</v>
      </c>
      <c r="CJ11" s="249"/>
      <c r="CK11" s="595">
        <f>+'KTR-Ausweis Gesamtansicht'!CK35+'KTR-Ausweis Gesamtansicht'!CK36+'KTR-Ausweis Gesamtansicht'!CK37</f>
        <v>0</v>
      </c>
      <c r="CL11" s="595">
        <f>+'KTR-Ausweis Gesamtansicht'!CL35+'KTR-Ausweis Gesamtansicht'!CL36+'KTR-Ausweis Gesamtansicht'!CL37</f>
        <v>0</v>
      </c>
      <c r="CM11" s="595">
        <f>+'KTR-Ausweis Gesamtansicht'!CM35+'KTR-Ausweis Gesamtansicht'!CM36+'KTR-Ausweis Gesamtansicht'!CM37</f>
        <v>0</v>
      </c>
      <c r="CN11" s="595">
        <f>+'KTR-Ausweis Gesamtansicht'!CN35+'KTR-Ausweis Gesamtansicht'!CN36+'KTR-Ausweis Gesamtansicht'!CN37</f>
        <v>0</v>
      </c>
      <c r="CO11" s="595">
        <f>+'KTR-Ausweis Gesamtansicht'!CO35+'KTR-Ausweis Gesamtansicht'!CO36+'KTR-Ausweis Gesamtansicht'!CO37</f>
        <v>0</v>
      </c>
      <c r="CP11" s="596">
        <f>+'KTR-Ausweis Gesamtansicht'!CP35+'KTR-Ausweis Gesamtansicht'!CP36+'KTR-Ausweis Gesamtansicht'!CP37</f>
        <v>0</v>
      </c>
      <c r="CQ11" s="595">
        <f>+'KTR-Ausweis Gesamtansicht'!CQ35+'KTR-Ausweis Gesamtansicht'!CQ36+'KTR-Ausweis Gesamtansicht'!CQ37</f>
        <v>0</v>
      </c>
      <c r="CR11" s="596">
        <f>+'KTR-Ausweis Gesamtansicht'!CR35+'KTR-Ausweis Gesamtansicht'!CR36+'KTR-Ausweis Gesamtansicht'!CR37</f>
        <v>0</v>
      </c>
      <c r="CS11" s="596">
        <f>+'KTR-Ausweis Gesamtansicht'!CS35+'KTR-Ausweis Gesamtansicht'!CS36+'KTR-Ausweis Gesamtansicht'!CS37</f>
        <v>0</v>
      </c>
      <c r="CT11" s="596">
        <f>+'KTR-Ausweis Gesamtansicht'!CT35+'KTR-Ausweis Gesamtansicht'!CT36+'KTR-Ausweis Gesamtansicht'!CT37</f>
        <v>0</v>
      </c>
      <c r="CU11" s="596">
        <f>+'KTR-Ausweis Gesamtansicht'!CU35+'KTR-Ausweis Gesamtansicht'!CU36+'KTR-Ausweis Gesamtansicht'!CU37</f>
        <v>0</v>
      </c>
      <c r="CV11" s="594">
        <f>SUM(CK11:CU11)-CH11+'KTR-Ausweis Gesamtansicht'!CV35+'KTR-Ausweis Gesamtansicht'!CV36+'KTR-Ausweis Gesamtansicht'!CV37</f>
        <v>0</v>
      </c>
      <c r="CW11" s="431"/>
      <c r="CX11" s="431"/>
      <c r="CY11" s="431"/>
    </row>
    <row r="12" spans="1:103">
      <c r="A12" s="621">
        <v>44</v>
      </c>
      <c r="B12" s="273" t="s">
        <v>158</v>
      </c>
      <c r="C12" s="1044"/>
      <c r="D12" s="1045"/>
      <c r="E12" s="346">
        <f>C12+D12</f>
        <v>0</v>
      </c>
      <c r="F12" s="1050"/>
      <c r="G12" s="368"/>
      <c r="H12" s="248"/>
      <c r="I12" s="247"/>
      <c r="J12" s="247"/>
      <c r="K12" s="569"/>
      <c r="L12" s="247"/>
      <c r="M12" s="247"/>
      <c r="N12" s="569"/>
      <c r="O12" s="247"/>
      <c r="P12" s="247"/>
      <c r="Q12" s="247"/>
      <c r="R12" s="368">
        <f>K12+N12</f>
        <v>0</v>
      </c>
      <c r="S12" s="247"/>
      <c r="T12" s="247"/>
      <c r="U12" s="247"/>
      <c r="V12" s="247"/>
      <c r="W12" s="247"/>
      <c r="X12" s="247"/>
      <c r="Y12" s="247"/>
      <c r="Z12" s="247"/>
      <c r="AA12" s="247"/>
      <c r="AB12" s="247"/>
      <c r="AC12" s="247"/>
      <c r="AD12" s="247"/>
      <c r="AE12" s="247"/>
      <c r="AF12" s="247"/>
      <c r="AG12" s="247"/>
      <c r="AH12" s="247"/>
      <c r="AI12" s="247"/>
      <c r="AJ12" s="247"/>
      <c r="AK12" s="247"/>
      <c r="AL12" s="247"/>
      <c r="AM12" s="247"/>
      <c r="AN12" s="247"/>
      <c r="AO12" s="247"/>
      <c r="AP12" s="247"/>
      <c r="AQ12" s="569"/>
      <c r="AR12" s="569"/>
      <c r="AS12" s="569"/>
      <c r="AT12" s="569"/>
      <c r="AU12" s="569"/>
      <c r="AV12" s="569"/>
      <c r="AW12" s="569"/>
      <c r="AX12" s="569"/>
      <c r="AY12" s="569"/>
      <c r="AZ12" s="569"/>
      <c r="BA12" s="569"/>
      <c r="BB12" s="569"/>
      <c r="BC12" s="569"/>
      <c r="BD12" s="247"/>
      <c r="BE12" s="247"/>
      <c r="BF12" s="569"/>
      <c r="BG12" s="247"/>
      <c r="BH12" s="247"/>
      <c r="BI12" s="247"/>
      <c r="BJ12" s="247"/>
      <c r="BK12" s="247"/>
      <c r="BL12" s="247"/>
      <c r="BM12" s="247"/>
      <c r="BN12" s="247"/>
      <c r="BO12" s="247"/>
      <c r="BP12" s="247"/>
      <c r="BQ12" s="247"/>
      <c r="BR12" s="247"/>
      <c r="BS12" s="368">
        <f t="shared" si="4"/>
        <v>0</v>
      </c>
      <c r="BT12" s="247"/>
      <c r="BU12" s="247"/>
      <c r="BV12" s="247"/>
      <c r="BW12" s="368">
        <f t="shared" si="0"/>
        <v>0</v>
      </c>
      <c r="BX12" s="247"/>
      <c r="BY12" s="247"/>
      <c r="BZ12" s="247"/>
      <c r="CA12" s="247"/>
      <c r="CB12" s="247"/>
      <c r="CC12" s="247"/>
      <c r="CD12" s="247"/>
      <c r="CE12" s="248">
        <f t="shared" si="1"/>
        <v>0</v>
      </c>
      <c r="CF12" s="247"/>
      <c r="CG12" s="247"/>
      <c r="CH12" s="247"/>
      <c r="CI12" s="368">
        <f t="shared" si="2"/>
        <v>0</v>
      </c>
      <c r="CJ12" s="249"/>
      <c r="CK12" s="595"/>
      <c r="CL12" s="595"/>
      <c r="CM12" s="595"/>
      <c r="CN12" s="595"/>
      <c r="CO12" s="595"/>
      <c r="CP12" s="596"/>
      <c r="CQ12" s="595"/>
      <c r="CR12" s="596"/>
      <c r="CS12" s="596"/>
      <c r="CT12" s="596"/>
      <c r="CU12" s="596"/>
      <c r="CV12" s="594">
        <f>SUM(CK12:CU12)-CH12</f>
        <v>0</v>
      </c>
      <c r="CW12" s="431"/>
      <c r="CX12" s="431"/>
      <c r="CY12" s="431"/>
    </row>
    <row r="13" spans="1:103">
      <c r="A13" s="621">
        <v>46</v>
      </c>
      <c r="B13" s="94" t="s">
        <v>14</v>
      </c>
      <c r="C13" s="1044"/>
      <c r="D13" s="1045"/>
      <c r="E13" s="346">
        <f t="shared" si="3"/>
        <v>0</v>
      </c>
      <c r="F13" s="1050"/>
      <c r="G13" s="368"/>
      <c r="H13" s="248"/>
      <c r="I13" s="247"/>
      <c r="J13" s="247"/>
      <c r="K13" s="569"/>
      <c r="L13" s="247"/>
      <c r="M13" s="247"/>
      <c r="N13" s="569"/>
      <c r="O13" s="247"/>
      <c r="P13" s="247"/>
      <c r="Q13" s="247"/>
      <c r="R13" s="368">
        <f>K13+N13</f>
        <v>0</v>
      </c>
      <c r="S13" s="247"/>
      <c r="T13" s="247"/>
      <c r="U13" s="247"/>
      <c r="V13" s="247"/>
      <c r="W13" s="247"/>
      <c r="X13" s="247"/>
      <c r="Y13" s="247"/>
      <c r="Z13" s="247"/>
      <c r="AA13" s="247"/>
      <c r="AB13" s="247"/>
      <c r="AC13" s="247"/>
      <c r="AD13" s="247"/>
      <c r="AE13" s="247"/>
      <c r="AF13" s="247"/>
      <c r="AG13" s="247"/>
      <c r="AH13" s="247"/>
      <c r="AI13" s="247"/>
      <c r="AJ13" s="247"/>
      <c r="AK13" s="247"/>
      <c r="AL13" s="247"/>
      <c r="AM13" s="247"/>
      <c r="AN13" s="247"/>
      <c r="AO13" s="247"/>
      <c r="AP13" s="247"/>
      <c r="AQ13" s="569"/>
      <c r="AR13" s="569"/>
      <c r="AS13" s="569"/>
      <c r="AT13" s="569"/>
      <c r="AU13" s="569"/>
      <c r="AV13" s="569"/>
      <c r="AW13" s="569"/>
      <c r="AX13" s="569"/>
      <c r="AY13" s="569"/>
      <c r="AZ13" s="569"/>
      <c r="BA13" s="569"/>
      <c r="BB13" s="569"/>
      <c r="BC13" s="569"/>
      <c r="BD13" s="247"/>
      <c r="BE13" s="247"/>
      <c r="BF13" s="569"/>
      <c r="BG13" s="247"/>
      <c r="BH13" s="247"/>
      <c r="BI13" s="247"/>
      <c r="BJ13" s="247"/>
      <c r="BK13" s="247"/>
      <c r="BL13" s="247"/>
      <c r="BM13" s="247"/>
      <c r="BN13" s="247"/>
      <c r="BO13" s="247"/>
      <c r="BP13" s="247"/>
      <c r="BQ13" s="247"/>
      <c r="BR13" s="247"/>
      <c r="BS13" s="368">
        <f t="shared" si="4"/>
        <v>0</v>
      </c>
      <c r="BT13" s="247"/>
      <c r="BU13" s="247"/>
      <c r="BV13" s="247"/>
      <c r="BW13" s="368">
        <f t="shared" si="0"/>
        <v>0</v>
      </c>
      <c r="BX13" s="247"/>
      <c r="BY13" s="247"/>
      <c r="BZ13" s="247"/>
      <c r="CA13" s="247"/>
      <c r="CB13" s="247"/>
      <c r="CC13" s="247"/>
      <c r="CD13" s="247"/>
      <c r="CE13" s="248">
        <f t="shared" si="1"/>
        <v>0</v>
      </c>
      <c r="CF13" s="247"/>
      <c r="CG13" s="247"/>
      <c r="CH13" s="247"/>
      <c r="CI13" s="368">
        <f t="shared" si="2"/>
        <v>0</v>
      </c>
      <c r="CJ13" s="249"/>
      <c r="CK13" s="595"/>
      <c r="CL13" s="595"/>
      <c r="CM13" s="595"/>
      <c r="CN13" s="595"/>
      <c r="CO13" s="595"/>
      <c r="CP13" s="596"/>
      <c r="CQ13" s="595"/>
      <c r="CR13" s="596"/>
      <c r="CS13" s="596"/>
      <c r="CT13" s="596"/>
      <c r="CU13" s="596"/>
      <c r="CV13" s="594">
        <f>SUM(CK13:CU13)-CH13</f>
        <v>0</v>
      </c>
      <c r="CW13" s="431"/>
      <c r="CX13" s="431"/>
      <c r="CY13" s="431"/>
    </row>
    <row r="14" spans="1:103">
      <c r="A14" s="621">
        <v>7</v>
      </c>
      <c r="B14" s="94" t="s">
        <v>15</v>
      </c>
      <c r="C14" s="1044"/>
      <c r="D14" s="1045"/>
      <c r="E14" s="346">
        <f t="shared" si="3"/>
        <v>0</v>
      </c>
      <c r="F14" s="1051"/>
      <c r="G14" s="368"/>
      <c r="H14" s="248"/>
      <c r="I14" s="247"/>
      <c r="J14" s="247"/>
      <c r="K14" s="569"/>
      <c r="L14" s="247"/>
      <c r="M14" s="247"/>
      <c r="N14" s="569"/>
      <c r="O14" s="247"/>
      <c r="P14" s="247"/>
      <c r="Q14" s="247"/>
      <c r="R14" s="368">
        <f>K14+N14</f>
        <v>0</v>
      </c>
      <c r="S14" s="247"/>
      <c r="T14" s="247"/>
      <c r="U14" s="247"/>
      <c r="V14" s="247"/>
      <c r="W14" s="247"/>
      <c r="X14" s="247"/>
      <c r="Y14" s="247"/>
      <c r="Z14" s="247"/>
      <c r="AA14" s="247"/>
      <c r="AB14" s="247"/>
      <c r="AC14" s="247"/>
      <c r="AD14" s="247"/>
      <c r="AE14" s="247"/>
      <c r="AF14" s="247"/>
      <c r="AG14" s="247"/>
      <c r="AH14" s="247"/>
      <c r="AI14" s="247"/>
      <c r="AJ14" s="247"/>
      <c r="AK14" s="247"/>
      <c r="AL14" s="247"/>
      <c r="AM14" s="247"/>
      <c r="AN14" s="247"/>
      <c r="AO14" s="247"/>
      <c r="AP14" s="247"/>
      <c r="AQ14" s="569"/>
      <c r="AR14" s="569"/>
      <c r="AS14" s="569"/>
      <c r="AT14" s="569"/>
      <c r="AU14" s="569"/>
      <c r="AV14" s="569"/>
      <c r="AW14" s="569"/>
      <c r="AX14" s="569"/>
      <c r="AY14" s="569"/>
      <c r="AZ14" s="569"/>
      <c r="BA14" s="569"/>
      <c r="BB14" s="569"/>
      <c r="BC14" s="569"/>
      <c r="BD14" s="247"/>
      <c r="BE14" s="247"/>
      <c r="BF14" s="569"/>
      <c r="BG14" s="247"/>
      <c r="BH14" s="247"/>
      <c r="BI14" s="247"/>
      <c r="BJ14" s="247"/>
      <c r="BK14" s="247"/>
      <c r="BL14" s="247"/>
      <c r="BM14" s="247"/>
      <c r="BN14" s="247"/>
      <c r="BO14" s="247"/>
      <c r="BP14" s="247"/>
      <c r="BQ14" s="247"/>
      <c r="BR14" s="247"/>
      <c r="BS14" s="368">
        <f t="shared" si="4"/>
        <v>0</v>
      </c>
      <c r="BT14" s="247"/>
      <c r="BU14" s="247"/>
      <c r="BV14" s="247"/>
      <c r="BW14" s="368">
        <f t="shared" si="0"/>
        <v>0</v>
      </c>
      <c r="BX14" s="247"/>
      <c r="BY14" s="247"/>
      <c r="BZ14" s="247"/>
      <c r="CA14" s="247"/>
      <c r="CB14" s="247"/>
      <c r="CC14" s="247"/>
      <c r="CD14" s="247"/>
      <c r="CE14" s="248">
        <f t="shared" si="1"/>
        <v>0</v>
      </c>
      <c r="CF14" s="247"/>
      <c r="CG14" s="247"/>
      <c r="CH14" s="247"/>
      <c r="CI14" s="368">
        <f t="shared" si="2"/>
        <v>0</v>
      </c>
      <c r="CJ14" s="249"/>
      <c r="CK14" s="595"/>
      <c r="CL14" s="595"/>
      <c r="CM14" s="595"/>
      <c r="CN14" s="595"/>
      <c r="CO14" s="595"/>
      <c r="CP14" s="596"/>
      <c r="CQ14" s="595"/>
      <c r="CR14" s="596"/>
      <c r="CS14" s="596"/>
      <c r="CT14" s="596"/>
      <c r="CU14" s="596"/>
      <c r="CV14" s="594">
        <f>SUM(CK14:CU14)-CH14</f>
        <v>0</v>
      </c>
      <c r="CW14" s="431"/>
      <c r="CX14" s="431"/>
      <c r="CY14" s="431"/>
    </row>
    <row r="15" spans="1:103">
      <c r="A15" s="621"/>
      <c r="B15" s="622" t="s">
        <v>3</v>
      </c>
      <c r="C15" s="352">
        <f t="shared" ref="C15:H15" si="5">SUM(C8:C14)</f>
        <v>0</v>
      </c>
      <c r="D15" s="754">
        <f t="shared" si="5"/>
        <v>0</v>
      </c>
      <c r="E15" s="754">
        <f t="shared" si="5"/>
        <v>0</v>
      </c>
      <c r="F15" s="361">
        <f t="shared" si="5"/>
        <v>0</v>
      </c>
      <c r="G15" s="602">
        <f t="shared" si="5"/>
        <v>0</v>
      </c>
      <c r="H15" s="362">
        <f t="shared" si="5"/>
        <v>0</v>
      </c>
      <c r="I15" s="362">
        <f t="shared" ref="I15:AP15" si="6">SUM(I8:I14)</f>
        <v>0</v>
      </c>
      <c r="J15" s="362">
        <f t="shared" si="6"/>
        <v>0</v>
      </c>
      <c r="K15" s="602">
        <f>SUM(I15+J15)</f>
        <v>0</v>
      </c>
      <c r="L15" s="362">
        <f t="shared" si="6"/>
        <v>0</v>
      </c>
      <c r="M15" s="362">
        <f t="shared" si="6"/>
        <v>0</v>
      </c>
      <c r="N15" s="602">
        <f>SUM(L15+M15)</f>
        <v>0</v>
      </c>
      <c r="O15" s="362">
        <f t="shared" si="6"/>
        <v>0</v>
      </c>
      <c r="P15" s="362">
        <f>SUM(P8:P14)</f>
        <v>0</v>
      </c>
      <c r="Q15" s="362">
        <f>SUM(Q8:Q14)</f>
        <v>0</v>
      </c>
      <c r="R15" s="362">
        <f t="shared" si="6"/>
        <v>0</v>
      </c>
      <c r="S15" s="362">
        <f t="shared" si="6"/>
        <v>0</v>
      </c>
      <c r="T15" s="362">
        <f t="shared" si="6"/>
        <v>0</v>
      </c>
      <c r="U15" s="362">
        <f t="shared" si="6"/>
        <v>0</v>
      </c>
      <c r="V15" s="362">
        <f t="shared" si="6"/>
        <v>0</v>
      </c>
      <c r="W15" s="362">
        <f t="shared" si="6"/>
        <v>0</v>
      </c>
      <c r="X15" s="362">
        <f t="shared" si="6"/>
        <v>0</v>
      </c>
      <c r="Y15" s="362">
        <f t="shared" si="6"/>
        <v>0</v>
      </c>
      <c r="Z15" s="362">
        <f t="shared" si="6"/>
        <v>0</v>
      </c>
      <c r="AA15" s="362">
        <f t="shared" si="6"/>
        <v>0</v>
      </c>
      <c r="AB15" s="362">
        <f t="shared" si="6"/>
        <v>0</v>
      </c>
      <c r="AC15" s="362">
        <f t="shared" si="6"/>
        <v>0</v>
      </c>
      <c r="AD15" s="362">
        <f t="shared" si="6"/>
        <v>0</v>
      </c>
      <c r="AE15" s="362">
        <f t="shared" si="6"/>
        <v>0</v>
      </c>
      <c r="AF15" s="362">
        <f t="shared" si="6"/>
        <v>0</v>
      </c>
      <c r="AG15" s="362">
        <f t="shared" si="6"/>
        <v>0</v>
      </c>
      <c r="AH15" s="362">
        <f t="shared" si="6"/>
        <v>0</v>
      </c>
      <c r="AI15" s="362">
        <f t="shared" si="6"/>
        <v>0</v>
      </c>
      <c r="AJ15" s="362">
        <f t="shared" si="6"/>
        <v>0</v>
      </c>
      <c r="AK15" s="362">
        <f t="shared" si="6"/>
        <v>0</v>
      </c>
      <c r="AL15" s="362">
        <f t="shared" si="6"/>
        <v>0</v>
      </c>
      <c r="AM15" s="362">
        <f t="shared" si="6"/>
        <v>0</v>
      </c>
      <c r="AN15" s="362">
        <f t="shared" si="6"/>
        <v>0</v>
      </c>
      <c r="AO15" s="362">
        <f t="shared" si="6"/>
        <v>0</v>
      </c>
      <c r="AP15" s="362">
        <f t="shared" si="6"/>
        <v>0</v>
      </c>
      <c r="AQ15" s="602">
        <f t="shared" ref="AQ15:AT15" si="7">SUM(AQ8:AQ14)</f>
        <v>0</v>
      </c>
      <c r="AR15" s="602">
        <f t="shared" si="7"/>
        <v>0</v>
      </c>
      <c r="AS15" s="602">
        <f t="shared" si="7"/>
        <v>0</v>
      </c>
      <c r="AT15" s="602">
        <f t="shared" si="7"/>
        <v>0</v>
      </c>
      <c r="AU15" s="602">
        <f t="shared" ref="AU15:AX15" si="8">SUM(AU8:AU14)</f>
        <v>0</v>
      </c>
      <c r="AV15" s="602">
        <f t="shared" si="8"/>
        <v>0</v>
      </c>
      <c r="AW15" s="602">
        <f t="shared" si="8"/>
        <v>0</v>
      </c>
      <c r="AX15" s="602">
        <f t="shared" si="8"/>
        <v>0</v>
      </c>
      <c r="AY15" s="602">
        <f t="shared" ref="AY15:BB15" si="9">SUM(AY8:AY14)</f>
        <v>0</v>
      </c>
      <c r="AZ15" s="602">
        <f t="shared" si="9"/>
        <v>0</v>
      </c>
      <c r="BA15" s="602">
        <f t="shared" si="9"/>
        <v>0</v>
      </c>
      <c r="BB15" s="602">
        <f t="shared" si="9"/>
        <v>0</v>
      </c>
      <c r="BC15" s="602">
        <f>SUM(BC8:BC14)</f>
        <v>0</v>
      </c>
      <c r="BD15" s="362">
        <f t="shared" ref="BD15:BK15" si="10">SUM(BD8:BD14)</f>
        <v>0</v>
      </c>
      <c r="BE15" s="362">
        <f t="shared" si="10"/>
        <v>0</v>
      </c>
      <c r="BF15" s="362">
        <f t="shared" si="10"/>
        <v>0</v>
      </c>
      <c r="BG15" s="362">
        <f t="shared" si="10"/>
        <v>0</v>
      </c>
      <c r="BH15" s="362">
        <f t="shared" si="10"/>
        <v>0</v>
      </c>
      <c r="BI15" s="362">
        <f t="shared" si="10"/>
        <v>0</v>
      </c>
      <c r="BJ15" s="362">
        <f t="shared" si="10"/>
        <v>0</v>
      </c>
      <c r="BK15" s="362">
        <f t="shared" si="10"/>
        <v>0</v>
      </c>
      <c r="BL15" s="362">
        <f t="shared" ref="BL15:CH15" si="11">SUM(BL8:BL14)</f>
        <v>0</v>
      </c>
      <c r="BM15" s="362">
        <f t="shared" si="11"/>
        <v>0</v>
      </c>
      <c r="BN15" s="362">
        <f t="shared" si="11"/>
        <v>0</v>
      </c>
      <c r="BO15" s="362">
        <f t="shared" si="11"/>
        <v>0</v>
      </c>
      <c r="BP15" s="362">
        <f t="shared" si="11"/>
        <v>0</v>
      </c>
      <c r="BQ15" s="362">
        <f t="shared" si="11"/>
        <v>0</v>
      </c>
      <c r="BR15" s="362">
        <f t="shared" si="11"/>
        <v>0</v>
      </c>
      <c r="BS15" s="362">
        <f t="shared" si="11"/>
        <v>0</v>
      </c>
      <c r="BT15" s="362">
        <f t="shared" si="11"/>
        <v>0</v>
      </c>
      <c r="BU15" s="362">
        <f t="shared" si="11"/>
        <v>0</v>
      </c>
      <c r="BV15" s="362">
        <f t="shared" si="11"/>
        <v>0</v>
      </c>
      <c r="BW15" s="602">
        <f t="shared" ref="BW15:CE15" si="12">SUM(BW8:BW14)</f>
        <v>0</v>
      </c>
      <c r="BX15" s="362">
        <f t="shared" si="12"/>
        <v>0</v>
      </c>
      <c r="BY15" s="362">
        <f t="shared" si="12"/>
        <v>0</v>
      </c>
      <c r="BZ15" s="362">
        <f t="shared" si="12"/>
        <v>0</v>
      </c>
      <c r="CA15" s="362">
        <f t="shared" si="12"/>
        <v>0</v>
      </c>
      <c r="CB15" s="362">
        <f t="shared" si="12"/>
        <v>0</v>
      </c>
      <c r="CC15" s="362">
        <f t="shared" si="12"/>
        <v>0</v>
      </c>
      <c r="CD15" s="362">
        <f t="shared" si="12"/>
        <v>0</v>
      </c>
      <c r="CE15" s="362">
        <f t="shared" si="12"/>
        <v>0</v>
      </c>
      <c r="CF15" s="570">
        <f t="shared" si="11"/>
        <v>0</v>
      </c>
      <c r="CG15" s="362">
        <f t="shared" si="11"/>
        <v>0</v>
      </c>
      <c r="CH15" s="362">
        <f t="shared" si="11"/>
        <v>0</v>
      </c>
      <c r="CI15" s="362">
        <f>SUM(CI8:CI14)</f>
        <v>0</v>
      </c>
      <c r="CJ15" s="571"/>
      <c r="CK15" s="362">
        <f t="shared" ref="CK15:CV15" si="13">SUM(CK8:CK14)</f>
        <v>0</v>
      </c>
      <c r="CL15" s="362">
        <f t="shared" si="13"/>
        <v>0</v>
      </c>
      <c r="CM15" s="362">
        <f t="shared" si="13"/>
        <v>0</v>
      </c>
      <c r="CN15" s="362">
        <f t="shared" si="13"/>
        <v>0</v>
      </c>
      <c r="CO15" s="362">
        <f t="shared" si="13"/>
        <v>0</v>
      </c>
      <c r="CP15" s="362">
        <f t="shared" si="13"/>
        <v>0</v>
      </c>
      <c r="CQ15" s="362">
        <f t="shared" si="13"/>
        <v>0</v>
      </c>
      <c r="CR15" s="570">
        <f t="shared" si="13"/>
        <v>0</v>
      </c>
      <c r="CS15" s="570">
        <f t="shared" si="13"/>
        <v>0</v>
      </c>
      <c r="CT15" s="570">
        <f t="shared" si="13"/>
        <v>0</v>
      </c>
      <c r="CU15" s="570">
        <f t="shared" si="13"/>
        <v>0</v>
      </c>
      <c r="CV15" s="594">
        <f t="shared" si="13"/>
        <v>0</v>
      </c>
      <c r="CW15" s="431"/>
      <c r="CX15" s="431"/>
      <c r="CY15" s="431"/>
    </row>
    <row r="16" spans="1:103">
      <c r="A16" s="621" t="s">
        <v>74</v>
      </c>
      <c r="B16" s="178" t="s">
        <v>16</v>
      </c>
      <c r="C16" s="353"/>
      <c r="D16" s="104"/>
      <c r="E16" s="1053"/>
      <c r="F16" s="363">
        <v>0</v>
      </c>
      <c r="G16" s="368"/>
      <c r="H16" s="248"/>
      <c r="I16" s="364"/>
      <c r="J16" s="364"/>
      <c r="K16" s="572"/>
      <c r="L16" s="364"/>
      <c r="M16" s="364"/>
      <c r="N16" s="572"/>
      <c r="O16" s="364"/>
      <c r="P16" s="364"/>
      <c r="Q16" s="364"/>
      <c r="R16" s="248"/>
      <c r="S16" s="364"/>
      <c r="T16" s="364"/>
      <c r="U16" s="364"/>
      <c r="V16" s="364"/>
      <c r="W16" s="364"/>
      <c r="X16" s="364"/>
      <c r="Y16" s="364"/>
      <c r="Z16" s="364"/>
      <c r="AA16" s="364"/>
      <c r="AB16" s="364"/>
      <c r="AC16" s="364"/>
      <c r="AD16" s="364"/>
      <c r="AE16" s="364"/>
      <c r="AF16" s="364"/>
      <c r="AG16" s="364"/>
      <c r="AH16" s="364"/>
      <c r="AI16" s="364"/>
      <c r="AJ16" s="364"/>
      <c r="AK16" s="364"/>
      <c r="AL16" s="364"/>
      <c r="AM16" s="364"/>
      <c r="AN16" s="364"/>
      <c r="AO16" s="364"/>
      <c r="AP16" s="364"/>
      <c r="AQ16" s="572"/>
      <c r="AR16" s="572"/>
      <c r="AS16" s="572"/>
      <c r="AT16" s="572"/>
      <c r="AU16" s="572"/>
      <c r="AV16" s="572"/>
      <c r="AW16" s="572"/>
      <c r="AX16" s="572"/>
      <c r="AY16" s="572"/>
      <c r="AZ16" s="572"/>
      <c r="BA16" s="572"/>
      <c r="BB16" s="572"/>
      <c r="BC16" s="572"/>
      <c r="BD16" s="364"/>
      <c r="BE16" s="364"/>
      <c r="BF16" s="572"/>
      <c r="BG16" s="364"/>
      <c r="BH16" s="364"/>
      <c r="BI16" s="364"/>
      <c r="BJ16" s="364"/>
      <c r="BK16" s="364"/>
      <c r="BL16" s="364"/>
      <c r="BM16" s="364"/>
      <c r="BN16" s="364"/>
      <c r="BO16" s="364"/>
      <c r="BP16" s="364"/>
      <c r="BQ16" s="364"/>
      <c r="BR16" s="364"/>
      <c r="BS16" s="368">
        <f t="shared" si="4"/>
        <v>0</v>
      </c>
      <c r="BT16" s="364"/>
      <c r="BU16" s="364"/>
      <c r="BV16" s="364"/>
      <c r="BW16" s="572">
        <f>R16+BF16+BS16+BT16+BU16+BV16</f>
        <v>0</v>
      </c>
      <c r="BX16" s="364"/>
      <c r="BY16" s="364"/>
      <c r="BZ16" s="364"/>
      <c r="CA16" s="364"/>
      <c r="CB16" s="364"/>
      <c r="CC16" s="364"/>
      <c r="CD16" s="364"/>
      <c r="CE16" s="248">
        <f>SUM(BX16:CD16)</f>
        <v>0</v>
      </c>
      <c r="CF16" s="573"/>
      <c r="CG16" s="364"/>
      <c r="CH16" s="364"/>
      <c r="CI16" s="368">
        <f>F16+BW16+CE16+CF16+CG16+CH16</f>
        <v>0</v>
      </c>
      <c r="CJ16" s="249"/>
      <c r="CK16" s="364"/>
      <c r="CL16" s="364"/>
      <c r="CM16" s="364"/>
      <c r="CN16" s="364"/>
      <c r="CO16" s="364"/>
      <c r="CP16" s="573"/>
      <c r="CQ16" s="364"/>
      <c r="CR16" s="573"/>
      <c r="CS16" s="573"/>
      <c r="CT16" s="573"/>
      <c r="CU16" s="573"/>
      <c r="CV16" s="594">
        <f>SUM(CK16:CU16)-CH16</f>
        <v>0</v>
      </c>
      <c r="CW16" s="431"/>
      <c r="CX16" s="431"/>
      <c r="CY16" s="431"/>
    </row>
    <row r="17" spans="1:103">
      <c r="A17" s="621"/>
      <c r="B17" s="106" t="s">
        <v>17</v>
      </c>
      <c r="C17" s="3"/>
      <c r="D17" s="4">
        <f>SUM(D15:D16)</f>
        <v>0</v>
      </c>
      <c r="E17" s="4">
        <f>SUM(E15:E16)</f>
        <v>0</v>
      </c>
      <c r="F17" s="365">
        <f>SUM(F15:F16)</f>
        <v>0</v>
      </c>
      <c r="G17" s="366">
        <f t="shared" ref="G17:AP17" si="14">SUM(G15:G16)</f>
        <v>0</v>
      </c>
      <c r="H17" s="366">
        <f t="shared" si="14"/>
        <v>0</v>
      </c>
      <c r="I17" s="366">
        <f t="shared" si="14"/>
        <v>0</v>
      </c>
      <c r="J17" s="366">
        <f t="shared" si="14"/>
        <v>0</v>
      </c>
      <c r="K17" s="366">
        <f>SUM(I17+J17)</f>
        <v>0</v>
      </c>
      <c r="L17" s="366">
        <f t="shared" si="14"/>
        <v>0</v>
      </c>
      <c r="M17" s="366">
        <f t="shared" si="14"/>
        <v>0</v>
      </c>
      <c r="N17" s="366">
        <f t="shared" ref="N17:N30" si="15">SUM(L17+M17)</f>
        <v>0</v>
      </c>
      <c r="O17" s="366">
        <f t="shared" si="14"/>
        <v>0</v>
      </c>
      <c r="P17" s="366">
        <f>SUM(P15:P16)</f>
        <v>0</v>
      </c>
      <c r="Q17" s="366">
        <f>SUM(Q15:Q16)</f>
        <v>0</v>
      </c>
      <c r="R17" s="366">
        <f t="shared" si="14"/>
        <v>0</v>
      </c>
      <c r="S17" s="366">
        <f t="shared" si="14"/>
        <v>0</v>
      </c>
      <c r="T17" s="366">
        <f t="shared" si="14"/>
        <v>0</v>
      </c>
      <c r="U17" s="366">
        <f t="shared" si="14"/>
        <v>0</v>
      </c>
      <c r="V17" s="366">
        <f t="shared" si="14"/>
        <v>0</v>
      </c>
      <c r="W17" s="366">
        <f t="shared" si="14"/>
        <v>0</v>
      </c>
      <c r="X17" s="366">
        <f t="shared" si="14"/>
        <v>0</v>
      </c>
      <c r="Y17" s="366">
        <f t="shared" si="14"/>
        <v>0</v>
      </c>
      <c r="Z17" s="366">
        <f t="shared" si="14"/>
        <v>0</v>
      </c>
      <c r="AA17" s="366">
        <f t="shared" si="14"/>
        <v>0</v>
      </c>
      <c r="AB17" s="366">
        <f t="shared" si="14"/>
        <v>0</v>
      </c>
      <c r="AC17" s="366">
        <f t="shared" si="14"/>
        <v>0</v>
      </c>
      <c r="AD17" s="366">
        <f t="shared" si="14"/>
        <v>0</v>
      </c>
      <c r="AE17" s="366">
        <f t="shared" si="14"/>
        <v>0</v>
      </c>
      <c r="AF17" s="366">
        <f t="shared" si="14"/>
        <v>0</v>
      </c>
      <c r="AG17" s="366">
        <f t="shared" si="14"/>
        <v>0</v>
      </c>
      <c r="AH17" s="366">
        <f t="shared" si="14"/>
        <v>0</v>
      </c>
      <c r="AI17" s="366">
        <f t="shared" si="14"/>
        <v>0</v>
      </c>
      <c r="AJ17" s="366">
        <f t="shared" si="14"/>
        <v>0</v>
      </c>
      <c r="AK17" s="366">
        <f t="shared" si="14"/>
        <v>0</v>
      </c>
      <c r="AL17" s="366">
        <f t="shared" si="14"/>
        <v>0</v>
      </c>
      <c r="AM17" s="366">
        <f t="shared" si="14"/>
        <v>0</v>
      </c>
      <c r="AN17" s="366">
        <f t="shared" si="14"/>
        <v>0</v>
      </c>
      <c r="AO17" s="366">
        <f t="shared" si="14"/>
        <v>0</v>
      </c>
      <c r="AP17" s="366">
        <f t="shared" si="14"/>
        <v>0</v>
      </c>
      <c r="AQ17" s="366">
        <f t="shared" ref="AQ17:AT17" si="16">SUM(AQ15:AQ16)</f>
        <v>0</v>
      </c>
      <c r="AR17" s="366">
        <f t="shared" si="16"/>
        <v>0</v>
      </c>
      <c r="AS17" s="366">
        <f t="shared" si="16"/>
        <v>0</v>
      </c>
      <c r="AT17" s="366">
        <f t="shared" si="16"/>
        <v>0</v>
      </c>
      <c r="AU17" s="366">
        <f t="shared" ref="AU17:AX17" si="17">SUM(AU15:AU16)</f>
        <v>0</v>
      </c>
      <c r="AV17" s="366">
        <f t="shared" si="17"/>
        <v>0</v>
      </c>
      <c r="AW17" s="366">
        <f t="shared" si="17"/>
        <v>0</v>
      </c>
      <c r="AX17" s="366">
        <f t="shared" si="17"/>
        <v>0</v>
      </c>
      <c r="AY17" s="366">
        <f t="shared" ref="AY17:BB17" si="18">SUM(AY15:AY16)</f>
        <v>0</v>
      </c>
      <c r="AZ17" s="366">
        <f t="shared" si="18"/>
        <v>0</v>
      </c>
      <c r="BA17" s="366">
        <f t="shared" si="18"/>
        <v>0</v>
      </c>
      <c r="BB17" s="366">
        <f t="shared" si="18"/>
        <v>0</v>
      </c>
      <c r="BC17" s="366">
        <f>SUM(BC15:BC16)</f>
        <v>0</v>
      </c>
      <c r="BD17" s="366">
        <f t="shared" ref="BD17:BK17" si="19">SUM(BD15:BD16)</f>
        <v>0</v>
      </c>
      <c r="BE17" s="366">
        <f t="shared" si="19"/>
        <v>0</v>
      </c>
      <c r="BF17" s="366">
        <f>SUM(BF15:BF16)</f>
        <v>0</v>
      </c>
      <c r="BG17" s="366">
        <f t="shared" si="19"/>
        <v>0</v>
      </c>
      <c r="BH17" s="366">
        <f t="shared" si="19"/>
        <v>0</v>
      </c>
      <c r="BI17" s="366">
        <f t="shared" si="19"/>
        <v>0</v>
      </c>
      <c r="BJ17" s="366">
        <f t="shared" si="19"/>
        <v>0</v>
      </c>
      <c r="BK17" s="366">
        <f t="shared" si="19"/>
        <v>0</v>
      </c>
      <c r="BL17" s="366">
        <f t="shared" ref="BL17:CH17" si="20">SUM(BL15:BL16)</f>
        <v>0</v>
      </c>
      <c r="BM17" s="366">
        <f t="shared" si="20"/>
        <v>0</v>
      </c>
      <c r="BN17" s="366">
        <f t="shared" si="20"/>
        <v>0</v>
      </c>
      <c r="BO17" s="366">
        <f t="shared" si="20"/>
        <v>0</v>
      </c>
      <c r="BP17" s="366">
        <f t="shared" si="20"/>
        <v>0</v>
      </c>
      <c r="BQ17" s="366">
        <f t="shared" si="20"/>
        <v>0</v>
      </c>
      <c r="BR17" s="366">
        <f t="shared" si="20"/>
        <v>0</v>
      </c>
      <c r="BS17" s="366">
        <f t="shared" si="20"/>
        <v>0</v>
      </c>
      <c r="BT17" s="366">
        <f t="shared" si="20"/>
        <v>0</v>
      </c>
      <c r="BU17" s="366">
        <f t="shared" si="20"/>
        <v>0</v>
      </c>
      <c r="BV17" s="366">
        <f t="shared" si="20"/>
        <v>0</v>
      </c>
      <c r="BW17" s="366">
        <f t="shared" ref="BW17:CE17" si="21">SUM(BW15:BW16)</f>
        <v>0</v>
      </c>
      <c r="BX17" s="366">
        <f t="shared" si="21"/>
        <v>0</v>
      </c>
      <c r="BY17" s="366">
        <f t="shared" si="21"/>
        <v>0</v>
      </c>
      <c r="BZ17" s="366">
        <f t="shared" si="21"/>
        <v>0</v>
      </c>
      <c r="CA17" s="366">
        <f t="shared" si="21"/>
        <v>0</v>
      </c>
      <c r="CB17" s="366">
        <f t="shared" si="21"/>
        <v>0</v>
      </c>
      <c r="CC17" s="366">
        <f t="shared" si="21"/>
        <v>0</v>
      </c>
      <c r="CD17" s="366">
        <f t="shared" si="21"/>
        <v>0</v>
      </c>
      <c r="CE17" s="366">
        <f t="shared" si="21"/>
        <v>0</v>
      </c>
      <c r="CF17" s="574">
        <f t="shared" si="20"/>
        <v>0</v>
      </c>
      <c r="CG17" s="366">
        <f t="shared" si="20"/>
        <v>0</v>
      </c>
      <c r="CH17" s="366">
        <f t="shared" si="20"/>
        <v>0</v>
      </c>
      <c r="CI17" s="366">
        <f>SUM(CI15:CI16)</f>
        <v>0</v>
      </c>
      <c r="CJ17" s="366"/>
      <c r="CK17" s="366">
        <f t="shared" ref="CK17:CV17" si="22">SUM(CK15:CK16)</f>
        <v>0</v>
      </c>
      <c r="CL17" s="366">
        <f t="shared" si="22"/>
        <v>0</v>
      </c>
      <c r="CM17" s="366">
        <f t="shared" si="22"/>
        <v>0</v>
      </c>
      <c r="CN17" s="366">
        <f t="shared" si="22"/>
        <v>0</v>
      </c>
      <c r="CO17" s="366">
        <f t="shared" si="22"/>
        <v>0</v>
      </c>
      <c r="CP17" s="366">
        <f t="shared" si="22"/>
        <v>0</v>
      </c>
      <c r="CQ17" s="366">
        <f t="shared" si="22"/>
        <v>0</v>
      </c>
      <c r="CR17" s="574">
        <f t="shared" si="22"/>
        <v>0</v>
      </c>
      <c r="CS17" s="574">
        <f t="shared" si="22"/>
        <v>0</v>
      </c>
      <c r="CT17" s="574">
        <f t="shared" si="22"/>
        <v>0</v>
      </c>
      <c r="CU17" s="574">
        <f t="shared" si="22"/>
        <v>0</v>
      </c>
      <c r="CV17" s="598">
        <f t="shared" si="22"/>
        <v>0</v>
      </c>
      <c r="CW17" s="431"/>
      <c r="CX17" s="431"/>
      <c r="CY17" s="431"/>
    </row>
    <row r="18" spans="1:103" s="13" customFormat="1">
      <c r="A18" s="111" t="s">
        <v>75</v>
      </c>
      <c r="B18" s="107" t="s">
        <v>18</v>
      </c>
      <c r="C18" s="5"/>
      <c r="D18" s="6"/>
      <c r="E18" s="6"/>
      <c r="F18" s="1055"/>
      <c r="G18" s="1073"/>
      <c r="H18" s="1073"/>
      <c r="I18" s="250">
        <f>+'KTR-Ausweis Gesamtansicht'!I68+'KTR-Ausweis Gesamtansicht'!I69</f>
        <v>0</v>
      </c>
      <c r="J18" s="250">
        <f>+'KTR-Ausweis Gesamtansicht'!J68+'KTR-Ausweis Gesamtansicht'!J69</f>
        <v>0</v>
      </c>
      <c r="K18" s="367">
        <f>SUM(I18+J18)</f>
        <v>0</v>
      </c>
      <c r="L18" s="250">
        <f>+'KTR-Ausweis Gesamtansicht'!L68+'KTR-Ausweis Gesamtansicht'!L69</f>
        <v>0</v>
      </c>
      <c r="M18" s="250">
        <f>+'KTR-Ausweis Gesamtansicht'!M68+'KTR-Ausweis Gesamtansicht'!M69</f>
        <v>0</v>
      </c>
      <c r="N18" s="367">
        <f t="shared" si="15"/>
        <v>0</v>
      </c>
      <c r="O18" s="250">
        <f>+'KTR-Ausweis Gesamtansicht'!O68+'KTR-Ausweis Gesamtansicht'!O69</f>
        <v>0</v>
      </c>
      <c r="P18" s="250">
        <f>+'KTR-Ausweis Gesamtansicht'!P68+'KTR-Ausweis Gesamtansicht'!P69</f>
        <v>0</v>
      </c>
      <c r="Q18" s="250">
        <f>+'KTR-Ausweis Gesamtansicht'!Q68+'KTR-Ausweis Gesamtansicht'!Q69</f>
        <v>0</v>
      </c>
      <c r="R18" s="248">
        <f>K18+N18+O18+P18+Q18</f>
        <v>0</v>
      </c>
      <c r="S18" s="250">
        <f>+'KTR-Ausweis Gesamtansicht'!S68+'KTR-Ausweis Gesamtansicht'!S69</f>
        <v>0</v>
      </c>
      <c r="T18" s="250">
        <f>+'KTR-Ausweis Gesamtansicht'!T68+'KTR-Ausweis Gesamtansicht'!T69</f>
        <v>0</v>
      </c>
      <c r="U18" s="250">
        <f>+'KTR-Ausweis Gesamtansicht'!U68+'KTR-Ausweis Gesamtansicht'!U69</f>
        <v>0</v>
      </c>
      <c r="V18" s="250">
        <f>+'KTR-Ausweis Gesamtansicht'!V68+'KTR-Ausweis Gesamtansicht'!V69</f>
        <v>0</v>
      </c>
      <c r="W18" s="250">
        <f>+'KTR-Ausweis Gesamtansicht'!W68+'KTR-Ausweis Gesamtansicht'!W69</f>
        <v>0</v>
      </c>
      <c r="X18" s="250">
        <f>+'KTR-Ausweis Gesamtansicht'!X68+'KTR-Ausweis Gesamtansicht'!X69</f>
        <v>0</v>
      </c>
      <c r="Y18" s="250">
        <f>+'KTR-Ausweis Gesamtansicht'!Y68+'KTR-Ausweis Gesamtansicht'!Y69</f>
        <v>0</v>
      </c>
      <c r="Z18" s="250">
        <f>+'KTR-Ausweis Gesamtansicht'!Z68+'KTR-Ausweis Gesamtansicht'!Z69</f>
        <v>0</v>
      </c>
      <c r="AA18" s="250">
        <f>+'KTR-Ausweis Gesamtansicht'!AA68+'KTR-Ausweis Gesamtansicht'!AA69</f>
        <v>0</v>
      </c>
      <c r="AB18" s="250">
        <f>+'KTR-Ausweis Gesamtansicht'!AB68+'KTR-Ausweis Gesamtansicht'!AB69</f>
        <v>0</v>
      </c>
      <c r="AC18" s="250">
        <f>+'KTR-Ausweis Gesamtansicht'!AC68+'KTR-Ausweis Gesamtansicht'!AC69</f>
        <v>0</v>
      </c>
      <c r="AD18" s="250">
        <f>+'KTR-Ausweis Gesamtansicht'!AD68+'KTR-Ausweis Gesamtansicht'!AD69</f>
        <v>0</v>
      </c>
      <c r="AE18" s="250">
        <f>+'KTR-Ausweis Gesamtansicht'!AE68+'KTR-Ausweis Gesamtansicht'!AE69</f>
        <v>0</v>
      </c>
      <c r="AF18" s="250">
        <f>+'KTR-Ausweis Gesamtansicht'!AF68+'KTR-Ausweis Gesamtansicht'!AF69</f>
        <v>0</v>
      </c>
      <c r="AG18" s="250">
        <f>+'KTR-Ausweis Gesamtansicht'!AG68+'KTR-Ausweis Gesamtansicht'!AG69</f>
        <v>0</v>
      </c>
      <c r="AH18" s="250">
        <f>+'KTR-Ausweis Gesamtansicht'!AH68+'KTR-Ausweis Gesamtansicht'!AH69</f>
        <v>0</v>
      </c>
      <c r="AI18" s="250">
        <f>+'KTR-Ausweis Gesamtansicht'!AI68+'KTR-Ausweis Gesamtansicht'!AI69</f>
        <v>0</v>
      </c>
      <c r="AJ18" s="250">
        <f>+'KTR-Ausweis Gesamtansicht'!AJ68+'KTR-Ausweis Gesamtansicht'!AJ69</f>
        <v>0</v>
      </c>
      <c r="AK18" s="250">
        <f>+'KTR-Ausweis Gesamtansicht'!AK68+'KTR-Ausweis Gesamtansicht'!AK69</f>
        <v>0</v>
      </c>
      <c r="AL18" s="250">
        <f>+'KTR-Ausweis Gesamtansicht'!AL68+'KTR-Ausweis Gesamtansicht'!AL69</f>
        <v>0</v>
      </c>
      <c r="AM18" s="250">
        <f>+'KTR-Ausweis Gesamtansicht'!AM68+'KTR-Ausweis Gesamtansicht'!AM69</f>
        <v>0</v>
      </c>
      <c r="AN18" s="250">
        <f>+'KTR-Ausweis Gesamtansicht'!AN68+'KTR-Ausweis Gesamtansicht'!AN69</f>
        <v>0</v>
      </c>
      <c r="AO18" s="250">
        <f>+'KTR-Ausweis Gesamtansicht'!AO68+'KTR-Ausweis Gesamtansicht'!AO69</f>
        <v>0</v>
      </c>
      <c r="AP18" s="250">
        <f>+'KTR-Ausweis Gesamtansicht'!AP68+'KTR-Ausweis Gesamtansicht'!AP69</f>
        <v>0</v>
      </c>
      <c r="AQ18" s="367">
        <f>+'KTR-Ausweis Gesamtansicht'!AQ68+'KTR-Ausweis Gesamtansicht'!AQ69</f>
        <v>0</v>
      </c>
      <c r="AR18" s="367">
        <f>+'KTR-Ausweis Gesamtansicht'!AR68+'KTR-Ausweis Gesamtansicht'!AR69</f>
        <v>0</v>
      </c>
      <c r="AS18" s="367">
        <f>+'KTR-Ausweis Gesamtansicht'!AS68+'KTR-Ausweis Gesamtansicht'!AS69</f>
        <v>0</v>
      </c>
      <c r="AT18" s="367">
        <f>+'KTR-Ausweis Gesamtansicht'!AT68+'KTR-Ausweis Gesamtansicht'!AT69</f>
        <v>0</v>
      </c>
      <c r="AU18" s="367">
        <f>+'KTR-Ausweis Gesamtansicht'!AU68+'KTR-Ausweis Gesamtansicht'!AU69</f>
        <v>0</v>
      </c>
      <c r="AV18" s="367">
        <f>+'KTR-Ausweis Gesamtansicht'!AV68+'KTR-Ausweis Gesamtansicht'!AV69</f>
        <v>0</v>
      </c>
      <c r="AW18" s="367">
        <f>+'KTR-Ausweis Gesamtansicht'!AW68+'KTR-Ausweis Gesamtansicht'!AW69</f>
        <v>0</v>
      </c>
      <c r="AX18" s="367">
        <f>+'KTR-Ausweis Gesamtansicht'!AX68+'KTR-Ausweis Gesamtansicht'!AX69</f>
        <v>0</v>
      </c>
      <c r="AY18" s="367">
        <f>+'KTR-Ausweis Gesamtansicht'!AY68+'KTR-Ausweis Gesamtansicht'!AY69</f>
        <v>0</v>
      </c>
      <c r="AZ18" s="367">
        <f>+'KTR-Ausweis Gesamtansicht'!AZ68+'KTR-Ausweis Gesamtansicht'!AZ69</f>
        <v>0</v>
      </c>
      <c r="BA18" s="367">
        <f>+'KTR-Ausweis Gesamtansicht'!BA68+'KTR-Ausweis Gesamtansicht'!BA69</f>
        <v>0</v>
      </c>
      <c r="BB18" s="367">
        <f>+'KTR-Ausweis Gesamtansicht'!BB68+'KTR-Ausweis Gesamtansicht'!BB69</f>
        <v>0</v>
      </c>
      <c r="BC18" s="367">
        <f>+'KTR-Ausweis Gesamtansicht'!BC68+'KTR-Ausweis Gesamtansicht'!BC69</f>
        <v>0</v>
      </c>
      <c r="BD18" s="250">
        <f>+'KTR-Ausweis Gesamtansicht'!BD68+'KTR-Ausweis Gesamtansicht'!BD69</f>
        <v>0</v>
      </c>
      <c r="BE18" s="250">
        <f>+'KTR-Ausweis Gesamtansicht'!BE68+'KTR-Ausweis Gesamtansicht'!BE69</f>
        <v>0</v>
      </c>
      <c r="BF18" s="367">
        <f>SUM(S18:BE18)</f>
        <v>0</v>
      </c>
      <c r="BG18" s="250">
        <f>+'KTR-Ausweis Gesamtansicht'!BG68+'KTR-Ausweis Gesamtansicht'!BG69</f>
        <v>0</v>
      </c>
      <c r="BH18" s="250">
        <f>+'KTR-Ausweis Gesamtansicht'!BH68+'KTR-Ausweis Gesamtansicht'!BH69</f>
        <v>0</v>
      </c>
      <c r="BI18" s="250">
        <f>+'KTR-Ausweis Gesamtansicht'!BI68+'KTR-Ausweis Gesamtansicht'!BI69</f>
        <v>0</v>
      </c>
      <c r="BJ18" s="250">
        <f>+'KTR-Ausweis Gesamtansicht'!BJ68+'KTR-Ausweis Gesamtansicht'!BJ69</f>
        <v>0</v>
      </c>
      <c r="BK18" s="250">
        <f>+'KTR-Ausweis Gesamtansicht'!BK68+'KTR-Ausweis Gesamtansicht'!BK69</f>
        <v>0</v>
      </c>
      <c r="BL18" s="250">
        <f>+'KTR-Ausweis Gesamtansicht'!BL68+'KTR-Ausweis Gesamtansicht'!BL69</f>
        <v>0</v>
      </c>
      <c r="BM18" s="250">
        <f>+'KTR-Ausweis Gesamtansicht'!BM68+'KTR-Ausweis Gesamtansicht'!BM69</f>
        <v>0</v>
      </c>
      <c r="BN18" s="250">
        <f>+'KTR-Ausweis Gesamtansicht'!BN68+'KTR-Ausweis Gesamtansicht'!BN69</f>
        <v>0</v>
      </c>
      <c r="BO18" s="250">
        <f>+'KTR-Ausweis Gesamtansicht'!BO68+'KTR-Ausweis Gesamtansicht'!BO69</f>
        <v>0</v>
      </c>
      <c r="BP18" s="250">
        <f>+'KTR-Ausweis Gesamtansicht'!BP68+'KTR-Ausweis Gesamtansicht'!BP69</f>
        <v>0</v>
      </c>
      <c r="BQ18" s="250">
        <f>+'KTR-Ausweis Gesamtansicht'!BQ68+'KTR-Ausweis Gesamtansicht'!BQ69</f>
        <v>0</v>
      </c>
      <c r="BR18" s="250">
        <f>+'KTR-Ausweis Gesamtansicht'!BR68+'KTR-Ausweis Gesamtansicht'!BR69</f>
        <v>0</v>
      </c>
      <c r="BS18" s="368">
        <f t="shared" si="4"/>
        <v>0</v>
      </c>
      <c r="BT18" s="250">
        <f>+'KTR-Ausweis Gesamtansicht'!BT68+'KTR-Ausweis Gesamtansicht'!BT69</f>
        <v>0</v>
      </c>
      <c r="BU18" s="250">
        <f>+'KTR-Ausweis Gesamtansicht'!BU68+'KTR-Ausweis Gesamtansicht'!BU69</f>
        <v>0</v>
      </c>
      <c r="BV18" s="250">
        <f>+'KTR-Ausweis Gesamtansicht'!BV68+'KTR-Ausweis Gesamtansicht'!BV69</f>
        <v>0</v>
      </c>
      <c r="BW18" s="367">
        <f>R18+BF18+BS18+BT18+BU18+BV18</f>
        <v>0</v>
      </c>
      <c r="BX18" s="250">
        <f>+'KTR-Ausweis Gesamtansicht'!BX68+'KTR-Ausweis Gesamtansicht'!BX69</f>
        <v>0</v>
      </c>
      <c r="BY18" s="250">
        <f>+'KTR-Ausweis Gesamtansicht'!BY68+'KTR-Ausweis Gesamtansicht'!BY69</f>
        <v>0</v>
      </c>
      <c r="BZ18" s="250">
        <f>+'KTR-Ausweis Gesamtansicht'!BZ68+'KTR-Ausweis Gesamtansicht'!BZ69</f>
        <v>0</v>
      </c>
      <c r="CA18" s="250">
        <f>+'KTR-Ausweis Gesamtansicht'!CA68+'KTR-Ausweis Gesamtansicht'!CA69</f>
        <v>0</v>
      </c>
      <c r="CB18" s="250">
        <f>+'KTR-Ausweis Gesamtansicht'!CB68+'KTR-Ausweis Gesamtansicht'!CB69</f>
        <v>0</v>
      </c>
      <c r="CC18" s="250">
        <f>+'KTR-Ausweis Gesamtansicht'!CC68+'KTR-Ausweis Gesamtansicht'!CC69</f>
        <v>0</v>
      </c>
      <c r="CD18" s="250">
        <f>+'KTR-Ausweis Gesamtansicht'!CD68+'KTR-Ausweis Gesamtansicht'!CD69</f>
        <v>0</v>
      </c>
      <c r="CE18" s="248">
        <f>SUM(BX18:CD18)</f>
        <v>0</v>
      </c>
      <c r="CF18" s="251">
        <f>+'KTR-Ausweis Gesamtansicht'!CF68+'KTR-Ausweis Gesamtansicht'!CF69</f>
        <v>0</v>
      </c>
      <c r="CG18" s="250">
        <f>+'KTR-Ausweis Gesamtansicht'!CG68+'KTR-Ausweis Gesamtansicht'!CG69</f>
        <v>0</v>
      </c>
      <c r="CH18" s="250">
        <f>+'KTR-Ausweis Gesamtansicht'!CH68+'KTR-Ausweis Gesamtansicht'!CH69</f>
        <v>0</v>
      </c>
      <c r="CI18" s="368">
        <f>F18+BW18+CE18+CF18+CG18+CH18</f>
        <v>0</v>
      </c>
      <c r="CJ18" s="249"/>
      <c r="CK18" s="250">
        <f>+'KTR-Ausweis Gesamtansicht'!CK68+'KTR-Ausweis Gesamtansicht'!CK69</f>
        <v>0</v>
      </c>
      <c r="CL18" s="250">
        <f>+'KTR-Ausweis Gesamtansicht'!CL68+'KTR-Ausweis Gesamtansicht'!CL69</f>
        <v>0</v>
      </c>
      <c r="CM18" s="250">
        <f>+'KTR-Ausweis Gesamtansicht'!CM68+'KTR-Ausweis Gesamtansicht'!CM69</f>
        <v>0</v>
      </c>
      <c r="CN18" s="250">
        <f>+'KTR-Ausweis Gesamtansicht'!CN68+'KTR-Ausweis Gesamtansicht'!CN69</f>
        <v>0</v>
      </c>
      <c r="CO18" s="250">
        <f>+'KTR-Ausweis Gesamtansicht'!CO68+'KTR-Ausweis Gesamtansicht'!CO69</f>
        <v>0</v>
      </c>
      <c r="CP18" s="250">
        <f>+'KTR-Ausweis Gesamtansicht'!CP68+'KTR-Ausweis Gesamtansicht'!CP69</f>
        <v>0</v>
      </c>
      <c r="CQ18" s="250">
        <f>+'KTR-Ausweis Gesamtansicht'!CQ68+'KTR-Ausweis Gesamtansicht'!CQ69</f>
        <v>0</v>
      </c>
      <c r="CR18" s="251">
        <f>+'KTR-Ausweis Gesamtansicht'!CR68+'KTR-Ausweis Gesamtansicht'!CR69</f>
        <v>0</v>
      </c>
      <c r="CS18" s="573">
        <f>+'KTR-Ausweis Gesamtansicht'!CS68+'KTR-Ausweis Gesamtansicht'!CS69</f>
        <v>0</v>
      </c>
      <c r="CT18" s="573">
        <f>+'KTR-Ausweis Gesamtansicht'!CT68+'KTR-Ausweis Gesamtansicht'!CT69</f>
        <v>0</v>
      </c>
      <c r="CU18" s="573">
        <f>+'KTR-Ausweis Gesamtansicht'!CU68+'KTR-Ausweis Gesamtansicht'!CU69</f>
        <v>0</v>
      </c>
      <c r="CV18" s="594">
        <f>SUM(CK18:CU18)-CH18+'KTR-Ausweis Gesamtansicht'!CV68+'KTR-Ausweis Gesamtansicht'!CV69</f>
        <v>0</v>
      </c>
      <c r="CW18" s="579"/>
      <c r="CX18" s="579"/>
      <c r="CY18" s="579"/>
    </row>
    <row r="19" spans="1:103" s="13" customFormat="1">
      <c r="A19" s="111"/>
      <c r="B19" s="106" t="s">
        <v>469</v>
      </c>
      <c r="C19" s="3"/>
      <c r="D19" s="4"/>
      <c r="E19" s="4"/>
      <c r="F19" s="365">
        <f t="shared" ref="F19:AP19" si="23">+F18+F17</f>
        <v>0</v>
      </c>
      <c r="G19" s="378">
        <f t="shared" si="23"/>
        <v>0</v>
      </c>
      <c r="H19" s="365">
        <f t="shared" si="23"/>
        <v>0</v>
      </c>
      <c r="I19" s="366">
        <f t="shared" si="23"/>
        <v>0</v>
      </c>
      <c r="J19" s="366">
        <f t="shared" si="23"/>
        <v>0</v>
      </c>
      <c r="K19" s="366">
        <f>SUM(I19+J19)</f>
        <v>0</v>
      </c>
      <c r="L19" s="366">
        <f t="shared" si="23"/>
        <v>0</v>
      </c>
      <c r="M19" s="366">
        <f t="shared" si="23"/>
        <v>0</v>
      </c>
      <c r="N19" s="366">
        <f t="shared" si="15"/>
        <v>0</v>
      </c>
      <c r="O19" s="366">
        <f t="shared" si="23"/>
        <v>0</v>
      </c>
      <c r="P19" s="366">
        <f>+P18+P17</f>
        <v>0</v>
      </c>
      <c r="Q19" s="366">
        <f>+Q18+Q17</f>
        <v>0</v>
      </c>
      <c r="R19" s="366">
        <f t="shared" si="23"/>
        <v>0</v>
      </c>
      <c r="S19" s="366">
        <f t="shared" si="23"/>
        <v>0</v>
      </c>
      <c r="T19" s="366">
        <f t="shared" si="23"/>
        <v>0</v>
      </c>
      <c r="U19" s="366">
        <f t="shared" si="23"/>
        <v>0</v>
      </c>
      <c r="V19" s="366">
        <f t="shared" si="23"/>
        <v>0</v>
      </c>
      <c r="W19" s="366">
        <f t="shared" si="23"/>
        <v>0</v>
      </c>
      <c r="X19" s="366">
        <f t="shared" si="23"/>
        <v>0</v>
      </c>
      <c r="Y19" s="366">
        <f t="shared" si="23"/>
        <v>0</v>
      </c>
      <c r="Z19" s="366">
        <f t="shared" si="23"/>
        <v>0</v>
      </c>
      <c r="AA19" s="366">
        <f t="shared" si="23"/>
        <v>0</v>
      </c>
      <c r="AB19" s="366">
        <f t="shared" si="23"/>
        <v>0</v>
      </c>
      <c r="AC19" s="366">
        <f t="shared" si="23"/>
        <v>0</v>
      </c>
      <c r="AD19" s="366">
        <f t="shared" si="23"/>
        <v>0</v>
      </c>
      <c r="AE19" s="366">
        <f t="shared" si="23"/>
        <v>0</v>
      </c>
      <c r="AF19" s="366">
        <f t="shared" si="23"/>
        <v>0</v>
      </c>
      <c r="AG19" s="366">
        <f t="shared" si="23"/>
        <v>0</v>
      </c>
      <c r="AH19" s="366">
        <f t="shared" si="23"/>
        <v>0</v>
      </c>
      <c r="AI19" s="366">
        <f t="shared" si="23"/>
        <v>0</v>
      </c>
      <c r="AJ19" s="366">
        <f t="shared" si="23"/>
        <v>0</v>
      </c>
      <c r="AK19" s="366">
        <f t="shared" si="23"/>
        <v>0</v>
      </c>
      <c r="AL19" s="366">
        <f t="shared" si="23"/>
        <v>0</v>
      </c>
      <c r="AM19" s="366">
        <f t="shared" si="23"/>
        <v>0</v>
      </c>
      <c r="AN19" s="366">
        <f t="shared" si="23"/>
        <v>0</v>
      </c>
      <c r="AO19" s="366">
        <f t="shared" si="23"/>
        <v>0</v>
      </c>
      <c r="AP19" s="366">
        <f t="shared" si="23"/>
        <v>0</v>
      </c>
      <c r="AQ19" s="366">
        <f t="shared" ref="AQ19:AT19" si="24">+AQ18+AQ17</f>
        <v>0</v>
      </c>
      <c r="AR19" s="366">
        <f t="shared" si="24"/>
        <v>0</v>
      </c>
      <c r="AS19" s="366">
        <f t="shared" si="24"/>
        <v>0</v>
      </c>
      <c r="AT19" s="366">
        <f t="shared" si="24"/>
        <v>0</v>
      </c>
      <c r="AU19" s="366">
        <f t="shared" ref="AU19:AX19" si="25">+AU18+AU17</f>
        <v>0</v>
      </c>
      <c r="AV19" s="366">
        <f t="shared" si="25"/>
        <v>0</v>
      </c>
      <c r="AW19" s="366">
        <f t="shared" si="25"/>
        <v>0</v>
      </c>
      <c r="AX19" s="366">
        <f t="shared" si="25"/>
        <v>0</v>
      </c>
      <c r="AY19" s="366">
        <f t="shared" ref="AY19:BB19" si="26">+AY18+AY17</f>
        <v>0</v>
      </c>
      <c r="AZ19" s="366">
        <f t="shared" si="26"/>
        <v>0</v>
      </c>
      <c r="BA19" s="366">
        <f t="shared" si="26"/>
        <v>0</v>
      </c>
      <c r="BB19" s="366">
        <f t="shared" si="26"/>
        <v>0</v>
      </c>
      <c r="BC19" s="366">
        <f>+BC18+BC17</f>
        <v>0</v>
      </c>
      <c r="BD19" s="366">
        <f t="shared" ref="BD19:BK19" si="27">+BD18+BD17</f>
        <v>0</v>
      </c>
      <c r="BE19" s="366">
        <f t="shared" si="27"/>
        <v>0</v>
      </c>
      <c r="BF19" s="366">
        <f>+BF18+BF17</f>
        <v>0</v>
      </c>
      <c r="BG19" s="366">
        <f t="shared" si="27"/>
        <v>0</v>
      </c>
      <c r="BH19" s="366">
        <f t="shared" si="27"/>
        <v>0</v>
      </c>
      <c r="BI19" s="366">
        <f t="shared" si="27"/>
        <v>0</v>
      </c>
      <c r="BJ19" s="366">
        <f t="shared" si="27"/>
        <v>0</v>
      </c>
      <c r="BK19" s="366">
        <f t="shared" si="27"/>
        <v>0</v>
      </c>
      <c r="BL19" s="366">
        <f t="shared" ref="BL19:CH19" si="28">+BL18+BL17</f>
        <v>0</v>
      </c>
      <c r="BM19" s="366">
        <f t="shared" si="28"/>
        <v>0</v>
      </c>
      <c r="BN19" s="366">
        <f t="shared" si="28"/>
        <v>0</v>
      </c>
      <c r="BO19" s="366">
        <f t="shared" si="28"/>
        <v>0</v>
      </c>
      <c r="BP19" s="366">
        <f t="shared" si="28"/>
        <v>0</v>
      </c>
      <c r="BQ19" s="366">
        <f t="shared" si="28"/>
        <v>0</v>
      </c>
      <c r="BR19" s="366">
        <f t="shared" si="28"/>
        <v>0</v>
      </c>
      <c r="BS19" s="366">
        <f t="shared" si="28"/>
        <v>0</v>
      </c>
      <c r="BT19" s="366">
        <f t="shared" si="28"/>
        <v>0</v>
      </c>
      <c r="BU19" s="366">
        <f t="shared" si="28"/>
        <v>0</v>
      </c>
      <c r="BV19" s="366">
        <f t="shared" si="28"/>
        <v>0</v>
      </c>
      <c r="BW19" s="366">
        <f>SUM(BW17:BW18)</f>
        <v>0</v>
      </c>
      <c r="BX19" s="366">
        <f t="shared" ref="BX19:CE19" si="29">+BX18+BX17</f>
        <v>0</v>
      </c>
      <c r="BY19" s="366">
        <f t="shared" si="29"/>
        <v>0</v>
      </c>
      <c r="BZ19" s="366">
        <f t="shared" si="29"/>
        <v>0</v>
      </c>
      <c r="CA19" s="366">
        <f t="shared" si="29"/>
        <v>0</v>
      </c>
      <c r="CB19" s="366">
        <f t="shared" si="29"/>
        <v>0</v>
      </c>
      <c r="CC19" s="366">
        <f t="shared" si="29"/>
        <v>0</v>
      </c>
      <c r="CD19" s="366">
        <f t="shared" si="29"/>
        <v>0</v>
      </c>
      <c r="CE19" s="366">
        <f t="shared" si="29"/>
        <v>0</v>
      </c>
      <c r="CF19" s="574">
        <f t="shared" si="28"/>
        <v>0</v>
      </c>
      <c r="CG19" s="366">
        <f t="shared" si="28"/>
        <v>0</v>
      </c>
      <c r="CH19" s="366">
        <f t="shared" si="28"/>
        <v>0</v>
      </c>
      <c r="CI19" s="366">
        <f>+CI18+CI17</f>
        <v>0</v>
      </c>
      <c r="CJ19" s="366">
        <f>E17-CI19+G19+H19</f>
        <v>0</v>
      </c>
      <c r="CK19" s="366">
        <f>+CK18+CK17</f>
        <v>0</v>
      </c>
      <c r="CL19" s="366">
        <f t="shared" ref="CL19:CV19" si="30">+CL18+CL17</f>
        <v>0</v>
      </c>
      <c r="CM19" s="366">
        <f t="shared" si="30"/>
        <v>0</v>
      </c>
      <c r="CN19" s="366">
        <f t="shared" si="30"/>
        <v>0</v>
      </c>
      <c r="CO19" s="366">
        <f t="shared" si="30"/>
        <v>0</v>
      </c>
      <c r="CP19" s="366">
        <f t="shared" si="30"/>
        <v>0</v>
      </c>
      <c r="CQ19" s="366">
        <f t="shared" si="30"/>
        <v>0</v>
      </c>
      <c r="CR19" s="574">
        <f t="shared" si="30"/>
        <v>0</v>
      </c>
      <c r="CS19" s="574">
        <f t="shared" si="30"/>
        <v>0</v>
      </c>
      <c r="CT19" s="574">
        <f t="shared" si="30"/>
        <v>0</v>
      </c>
      <c r="CU19" s="574">
        <f t="shared" si="30"/>
        <v>0</v>
      </c>
      <c r="CV19" s="598">
        <f t="shared" si="30"/>
        <v>0</v>
      </c>
      <c r="CW19" s="579"/>
      <c r="CX19" s="579"/>
      <c r="CY19" s="579"/>
    </row>
    <row r="20" spans="1:103" s="102" customFormat="1">
      <c r="A20" s="111" t="s">
        <v>89</v>
      </c>
      <c r="B20" s="107" t="s">
        <v>112</v>
      </c>
      <c r="C20" s="103"/>
      <c r="D20" s="104"/>
      <c r="E20" s="104"/>
      <c r="F20" s="252"/>
      <c r="G20" s="1056"/>
      <c r="H20" s="1056"/>
      <c r="I20" s="250"/>
      <c r="J20" s="250">
        <f>(-'KTR-Ausweis Gesamtansicht'!J32-'KTR-Ausweis Gesamtansicht'!J33-'KTR-Ausweis Gesamtansicht'!J30)*(100%-J66)</f>
        <v>0</v>
      </c>
      <c r="K20" s="367">
        <f>SUM(I20+J20)</f>
        <v>0</v>
      </c>
      <c r="L20" s="250"/>
      <c r="M20" s="250">
        <f>(-'KTR-Ausweis Gesamtansicht'!M32-'KTR-Ausweis Gesamtansicht'!M33-'KTR-Ausweis Gesamtansicht'!M30)*(100%-M66)</f>
        <v>0</v>
      </c>
      <c r="N20" s="367">
        <f t="shared" si="15"/>
        <v>0</v>
      </c>
      <c r="O20" s="250"/>
      <c r="P20" s="250"/>
      <c r="Q20" s="250">
        <f>(-'KTR-Ausweis Gesamtansicht'!Q32-'KTR-Ausweis Gesamtansicht'!Q33-'KTR-Ausweis Gesamtansicht'!Q30)*(100%-Q66)</f>
        <v>0</v>
      </c>
      <c r="R20" s="248">
        <f>K20+N20+O20+P20+Q20</f>
        <v>0</v>
      </c>
      <c r="S20" s="250"/>
      <c r="T20" s="250">
        <f>(-'KTR-Ausweis Gesamtansicht'!T32-'KTR-Ausweis Gesamtansicht'!T33-'KTR-Ausweis Gesamtansicht'!T30)*(100%-T66)</f>
        <v>0</v>
      </c>
      <c r="U20" s="250"/>
      <c r="V20" s="250">
        <f>(-'KTR-Ausweis Gesamtansicht'!V32-'KTR-Ausweis Gesamtansicht'!V33-'KTR-Ausweis Gesamtansicht'!V30)*(100%-V66)</f>
        <v>0</v>
      </c>
      <c r="W20" s="250"/>
      <c r="X20" s="250">
        <f>(-'KTR-Ausweis Gesamtansicht'!X32-'KTR-Ausweis Gesamtansicht'!X33-'KTR-Ausweis Gesamtansicht'!X30)*(100%-X66)</f>
        <v>0</v>
      </c>
      <c r="Y20" s="250"/>
      <c r="Z20" s="250">
        <f>(-'KTR-Ausweis Gesamtansicht'!Z32-'KTR-Ausweis Gesamtansicht'!Z33-'KTR-Ausweis Gesamtansicht'!Z30)*(100%-Z66)</f>
        <v>0</v>
      </c>
      <c r="AA20" s="250"/>
      <c r="AB20" s="250">
        <f>(-'KTR-Ausweis Gesamtansicht'!AB32-'KTR-Ausweis Gesamtansicht'!AB33-'KTR-Ausweis Gesamtansicht'!AB30)*(100%-AB66)</f>
        <v>0</v>
      </c>
      <c r="AC20" s="250"/>
      <c r="AD20" s="250">
        <f>(-'KTR-Ausweis Gesamtansicht'!AD32-'KTR-Ausweis Gesamtansicht'!AD33-'KTR-Ausweis Gesamtansicht'!AD30)*(100%-AD66)</f>
        <v>0</v>
      </c>
      <c r="AE20" s="250"/>
      <c r="AF20" s="250">
        <f>(-'KTR-Ausweis Gesamtansicht'!AF32-'KTR-Ausweis Gesamtansicht'!AF33-'KTR-Ausweis Gesamtansicht'!AF30)*(100%-AF66)</f>
        <v>0</v>
      </c>
      <c r="AG20" s="250"/>
      <c r="AH20" s="250">
        <f>(-'KTR-Ausweis Gesamtansicht'!AH32-'KTR-Ausweis Gesamtansicht'!AH33-'KTR-Ausweis Gesamtansicht'!AH30)*(100%-AH66)</f>
        <v>0</v>
      </c>
      <c r="AI20" s="250"/>
      <c r="AJ20" s="250">
        <f>(-'KTR-Ausweis Gesamtansicht'!AJ32-'KTR-Ausweis Gesamtansicht'!AJ33-'KTR-Ausweis Gesamtansicht'!AJ30)*(100%-AJ66)</f>
        <v>0</v>
      </c>
      <c r="AK20" s="250"/>
      <c r="AL20" s="250">
        <f>(-'KTR-Ausweis Gesamtansicht'!AL32-'KTR-Ausweis Gesamtansicht'!AL33-'KTR-Ausweis Gesamtansicht'!AL30)*(100%-AL66)</f>
        <v>0</v>
      </c>
      <c r="AM20" s="250"/>
      <c r="AN20" s="250">
        <f>(-'KTR-Ausweis Gesamtansicht'!AN32-'KTR-Ausweis Gesamtansicht'!AN33-'KTR-Ausweis Gesamtansicht'!AN30)*(100%-AN66)</f>
        <v>0</v>
      </c>
      <c r="AO20" s="250"/>
      <c r="AP20" s="250">
        <f>(-'KTR-Ausweis Gesamtansicht'!AP32-'KTR-Ausweis Gesamtansicht'!AP33-'KTR-Ausweis Gesamtansicht'!AP30)*(100%-AP66)</f>
        <v>0</v>
      </c>
      <c r="AQ20" s="367"/>
      <c r="AR20" s="367">
        <f>(-'KTR-Ausweis Gesamtansicht'!AR32-'KTR-Ausweis Gesamtansicht'!AR33-'KTR-Ausweis Gesamtansicht'!AR30)*(100%-AR66)</f>
        <v>0</v>
      </c>
      <c r="AS20" s="367"/>
      <c r="AT20" s="367">
        <f>(-'KTR-Ausweis Gesamtansicht'!AT32-'KTR-Ausweis Gesamtansicht'!AT33-'KTR-Ausweis Gesamtansicht'!AT30)*(100%-AT66)</f>
        <v>0</v>
      </c>
      <c r="AU20" s="367"/>
      <c r="AV20" s="367">
        <f>(-'KTR-Ausweis Gesamtansicht'!AV32-'KTR-Ausweis Gesamtansicht'!AV33-'KTR-Ausweis Gesamtansicht'!AV30)*(100%-AV66)</f>
        <v>0</v>
      </c>
      <c r="AW20" s="367"/>
      <c r="AX20" s="367">
        <f>(-'KTR-Ausweis Gesamtansicht'!AX32-'KTR-Ausweis Gesamtansicht'!AX33-'KTR-Ausweis Gesamtansicht'!AX30)*(100%-AX66)</f>
        <v>0</v>
      </c>
      <c r="AY20" s="367"/>
      <c r="AZ20" s="367">
        <f>(-'KTR-Ausweis Gesamtansicht'!AZ32-'KTR-Ausweis Gesamtansicht'!AZ33-'KTR-Ausweis Gesamtansicht'!AZ30)*(100%-AZ66)</f>
        <v>0</v>
      </c>
      <c r="BA20" s="367"/>
      <c r="BB20" s="367">
        <f>(-'KTR-Ausweis Gesamtansicht'!BB32-'KTR-Ausweis Gesamtansicht'!BB33-'KTR-Ausweis Gesamtansicht'!BB30)*(100%-BB66)</f>
        <v>0</v>
      </c>
      <c r="BC20" s="367"/>
      <c r="BD20" s="250"/>
      <c r="BE20" s="250">
        <f>(-'KTR-Ausweis Gesamtansicht'!BE32-'KTR-Ausweis Gesamtansicht'!BE33-'KTR-Ausweis Gesamtansicht'!BE30)*(100%-BE66)</f>
        <v>0</v>
      </c>
      <c r="BF20" s="367">
        <f>SUM(S20:BE20)</f>
        <v>0</v>
      </c>
      <c r="BG20" s="250"/>
      <c r="BH20" s="250">
        <f>(-'KTR-Ausweis Gesamtansicht'!BH32-'KTR-Ausweis Gesamtansicht'!BH33-'KTR-Ausweis Gesamtansicht'!BH30)*(100%-BH66)</f>
        <v>0</v>
      </c>
      <c r="BI20" s="250"/>
      <c r="BJ20" s="250">
        <f>(-'KTR-Ausweis Gesamtansicht'!BJ32-'KTR-Ausweis Gesamtansicht'!BJ33-'KTR-Ausweis Gesamtansicht'!BJ30)*(100%-BJ66)</f>
        <v>0</v>
      </c>
      <c r="BK20" s="250"/>
      <c r="BL20" s="250"/>
      <c r="BM20" s="250">
        <f>(-'KTR-Ausweis Gesamtansicht'!BM32-'KTR-Ausweis Gesamtansicht'!BM33-'KTR-Ausweis Gesamtansicht'!BM30)*(100%-BM66)</f>
        <v>0</v>
      </c>
      <c r="BN20" s="250"/>
      <c r="BO20" s="250">
        <f>(-'KTR-Ausweis Gesamtansicht'!BO32-'KTR-Ausweis Gesamtansicht'!BO33-'KTR-Ausweis Gesamtansicht'!BO30)*(100%-BO66)</f>
        <v>0</v>
      </c>
      <c r="BP20" s="250"/>
      <c r="BQ20" s="250"/>
      <c r="BR20" s="250">
        <f>(-'KTR-Ausweis Gesamtansicht'!BR32-'KTR-Ausweis Gesamtansicht'!BR33-'KTR-Ausweis Gesamtansicht'!BR30)*(100%-BR66)</f>
        <v>0</v>
      </c>
      <c r="BS20" s="368">
        <f t="shared" si="4"/>
        <v>0</v>
      </c>
      <c r="BT20" s="250"/>
      <c r="BU20" s="250"/>
      <c r="BV20" s="250"/>
      <c r="BW20" s="367">
        <f>R20+BF20+BS20+BT20+BU20+BV20</f>
        <v>0</v>
      </c>
      <c r="BX20" s="250"/>
      <c r="BY20" s="250"/>
      <c r="BZ20" s="250"/>
      <c r="CA20" s="250"/>
      <c r="CB20" s="250"/>
      <c r="CC20" s="250"/>
      <c r="CD20" s="250"/>
      <c r="CE20" s="248">
        <f>SUM(BX20:CD20)</f>
        <v>0</v>
      </c>
      <c r="CF20" s="250"/>
      <c r="CG20" s="250"/>
      <c r="CH20" s="250"/>
      <c r="CI20" s="368">
        <f>F20+BW20+CE20+CF20+CG20+CH20</f>
        <v>0</v>
      </c>
      <c r="CJ20" s="377"/>
      <c r="CK20" s="250"/>
      <c r="CL20" s="250"/>
      <c r="CM20" s="250"/>
      <c r="CN20" s="250"/>
      <c r="CO20" s="250"/>
      <c r="CP20" s="251"/>
      <c r="CQ20" s="250"/>
      <c r="CR20" s="251"/>
      <c r="CS20" s="251"/>
      <c r="CT20" s="251"/>
      <c r="CU20" s="251"/>
      <c r="CV20" s="594">
        <f t="shared" ref="CV20:CV29" si="31">SUM(CK20:CU20)-CH20</f>
        <v>0</v>
      </c>
      <c r="CW20" s="579"/>
      <c r="CX20" s="579"/>
      <c r="CY20" s="579"/>
    </row>
    <row r="21" spans="1:103">
      <c r="A21" s="621">
        <v>44</v>
      </c>
      <c r="B21" s="107" t="str">
        <f>IF('KTR-Ausweis Gesamtansicht'!C69="REKOLE","./. Anlagenutzungskosten (ANK = kalk. Zinsen AV, kalk. Abschreibungen, Mieten für Objekte&gt; CHF 10'000) nach REKOLE","./. Anlagenutzungskosten (ANK = kalk. Zinsen AV, kalk. Abschreibungen, Mieten für Objekte &gt; CHF 10'000) nach VKL")</f>
        <v>./. Anlagenutzungskosten (ANK = kalk. Zinsen AV, kalk. Abschreibungen, Mieten für Objekte&gt; CHF 10'000) nach REKOLE</v>
      </c>
      <c r="C21" s="353"/>
      <c r="D21" s="104"/>
      <c r="E21" s="104"/>
      <c r="F21" s="1050"/>
      <c r="G21" s="1056"/>
      <c r="H21" s="1056"/>
      <c r="I21" s="250">
        <f>-'KTR-Ausweis Gesamtansicht'!I69</f>
        <v>0</v>
      </c>
      <c r="J21" s="250">
        <f>-'KTR-Ausweis Gesamtansicht'!J69</f>
        <v>0</v>
      </c>
      <c r="K21" s="367">
        <f t="shared" ref="K21:K26" si="32">SUM(I21+J21)</f>
        <v>0</v>
      </c>
      <c r="L21" s="250">
        <f>-'KTR-Ausweis Gesamtansicht'!L69</f>
        <v>0</v>
      </c>
      <c r="M21" s="250">
        <f>-'KTR-Ausweis Gesamtansicht'!M69</f>
        <v>0</v>
      </c>
      <c r="N21" s="367">
        <f t="shared" si="15"/>
        <v>0</v>
      </c>
      <c r="O21" s="250">
        <f>-'KTR-Ausweis Gesamtansicht'!O69</f>
        <v>0</v>
      </c>
      <c r="P21" s="250">
        <f>-'KTR-Ausweis Gesamtansicht'!P69</f>
        <v>0</v>
      </c>
      <c r="Q21" s="250">
        <f>-'KTR-Ausweis Gesamtansicht'!Q69</f>
        <v>0</v>
      </c>
      <c r="R21" s="248">
        <f>K21+N21+O21+P21+Q21</f>
        <v>0</v>
      </c>
      <c r="S21" s="250">
        <f>-'KTR-Ausweis Gesamtansicht'!S69</f>
        <v>0</v>
      </c>
      <c r="T21" s="367">
        <f>-'KTR-Ausweis Gesamtansicht'!T69</f>
        <v>0</v>
      </c>
      <c r="U21" s="367">
        <f>-'KTR-Ausweis Gesamtansicht'!U69</f>
        <v>0</v>
      </c>
      <c r="V21" s="250">
        <f>-'KTR-Ausweis Gesamtansicht'!V69</f>
        <v>0</v>
      </c>
      <c r="W21" s="250">
        <f>-'KTR-Ausweis Gesamtansicht'!W69</f>
        <v>0</v>
      </c>
      <c r="X21" s="250">
        <f>-'KTR-Ausweis Gesamtansicht'!X69</f>
        <v>0</v>
      </c>
      <c r="Y21" s="250">
        <f>-'KTR-Ausweis Gesamtansicht'!Y69</f>
        <v>0</v>
      </c>
      <c r="Z21" s="250">
        <f>-'KTR-Ausweis Gesamtansicht'!Z69</f>
        <v>0</v>
      </c>
      <c r="AA21" s="250">
        <f>-'KTR-Ausweis Gesamtansicht'!AA69</f>
        <v>0</v>
      </c>
      <c r="AB21" s="250">
        <f>-'KTR-Ausweis Gesamtansicht'!AB69</f>
        <v>0</v>
      </c>
      <c r="AC21" s="250">
        <f>-'KTR-Ausweis Gesamtansicht'!AC69</f>
        <v>0</v>
      </c>
      <c r="AD21" s="250">
        <f>-'KTR-Ausweis Gesamtansicht'!AD69</f>
        <v>0</v>
      </c>
      <c r="AE21" s="250">
        <f>-'KTR-Ausweis Gesamtansicht'!AE69</f>
        <v>0</v>
      </c>
      <c r="AF21" s="250">
        <f>-'KTR-Ausweis Gesamtansicht'!AF69</f>
        <v>0</v>
      </c>
      <c r="AG21" s="250">
        <f>-'KTR-Ausweis Gesamtansicht'!AG69</f>
        <v>0</v>
      </c>
      <c r="AH21" s="250">
        <f>-'KTR-Ausweis Gesamtansicht'!AH69</f>
        <v>0</v>
      </c>
      <c r="AI21" s="250">
        <f>-'KTR-Ausweis Gesamtansicht'!AI69</f>
        <v>0</v>
      </c>
      <c r="AJ21" s="250">
        <f>-'KTR-Ausweis Gesamtansicht'!AJ69</f>
        <v>0</v>
      </c>
      <c r="AK21" s="250">
        <f>-'KTR-Ausweis Gesamtansicht'!AK69</f>
        <v>0</v>
      </c>
      <c r="AL21" s="250">
        <f>-'KTR-Ausweis Gesamtansicht'!AL69</f>
        <v>0</v>
      </c>
      <c r="AM21" s="250">
        <f>-'KTR-Ausweis Gesamtansicht'!AM69</f>
        <v>0</v>
      </c>
      <c r="AN21" s="250">
        <f>-'KTR-Ausweis Gesamtansicht'!AN69</f>
        <v>0</v>
      </c>
      <c r="AO21" s="250">
        <f>-'KTR-Ausweis Gesamtansicht'!AO69</f>
        <v>0</v>
      </c>
      <c r="AP21" s="250">
        <f>-'KTR-Ausweis Gesamtansicht'!AP69</f>
        <v>0</v>
      </c>
      <c r="AQ21" s="367">
        <f>-'KTR-Ausweis Gesamtansicht'!AQ69</f>
        <v>0</v>
      </c>
      <c r="AR21" s="367">
        <f>-'KTR-Ausweis Gesamtansicht'!AR69</f>
        <v>0</v>
      </c>
      <c r="AS21" s="367">
        <f>-'KTR-Ausweis Gesamtansicht'!AS69</f>
        <v>0</v>
      </c>
      <c r="AT21" s="367">
        <f>-'KTR-Ausweis Gesamtansicht'!AT69</f>
        <v>0</v>
      </c>
      <c r="AU21" s="367">
        <f>-'KTR-Ausweis Gesamtansicht'!AU69</f>
        <v>0</v>
      </c>
      <c r="AV21" s="367">
        <f>-'KTR-Ausweis Gesamtansicht'!AV69</f>
        <v>0</v>
      </c>
      <c r="AW21" s="367">
        <f>-'KTR-Ausweis Gesamtansicht'!AW69</f>
        <v>0</v>
      </c>
      <c r="AX21" s="367">
        <f>-'KTR-Ausweis Gesamtansicht'!AX69</f>
        <v>0</v>
      </c>
      <c r="AY21" s="367">
        <f>-'KTR-Ausweis Gesamtansicht'!AY69</f>
        <v>0</v>
      </c>
      <c r="AZ21" s="367">
        <f>-'KTR-Ausweis Gesamtansicht'!AZ69</f>
        <v>0</v>
      </c>
      <c r="BA21" s="367">
        <f>-'KTR-Ausweis Gesamtansicht'!BA69</f>
        <v>0</v>
      </c>
      <c r="BB21" s="367">
        <f>-'KTR-Ausweis Gesamtansicht'!BB69</f>
        <v>0</v>
      </c>
      <c r="BC21" s="367">
        <f>-'KTR-Ausweis Gesamtansicht'!BC69</f>
        <v>0</v>
      </c>
      <c r="BD21" s="250">
        <f>-'KTR-Ausweis Gesamtansicht'!BD69</f>
        <v>0</v>
      </c>
      <c r="BE21" s="250">
        <f>-'KTR-Ausweis Gesamtansicht'!BE69</f>
        <v>0</v>
      </c>
      <c r="BF21" s="367">
        <f>SUM(S21:BE21)</f>
        <v>0</v>
      </c>
      <c r="BG21" s="250">
        <f>-'KTR-Ausweis Gesamtansicht'!BG69</f>
        <v>0</v>
      </c>
      <c r="BH21" s="250">
        <f>-'KTR-Ausweis Gesamtansicht'!BH69</f>
        <v>0</v>
      </c>
      <c r="BI21" s="250">
        <f>-'KTR-Ausweis Gesamtansicht'!BI69</f>
        <v>0</v>
      </c>
      <c r="BJ21" s="250">
        <f>-'KTR-Ausweis Gesamtansicht'!BJ69</f>
        <v>0</v>
      </c>
      <c r="BK21" s="250">
        <f>-'KTR-Ausweis Gesamtansicht'!BK69</f>
        <v>0</v>
      </c>
      <c r="BL21" s="250">
        <f>-'KTR-Ausweis Gesamtansicht'!BL69</f>
        <v>0</v>
      </c>
      <c r="BM21" s="250">
        <f>-'KTR-Ausweis Gesamtansicht'!BM69</f>
        <v>0</v>
      </c>
      <c r="BN21" s="250">
        <f>-'KTR-Ausweis Gesamtansicht'!BN69</f>
        <v>0</v>
      </c>
      <c r="BO21" s="250">
        <f>-'KTR-Ausweis Gesamtansicht'!BO69</f>
        <v>0</v>
      </c>
      <c r="BP21" s="250">
        <f>-'KTR-Ausweis Gesamtansicht'!BP69</f>
        <v>0</v>
      </c>
      <c r="BQ21" s="250">
        <f>-'KTR-Ausweis Gesamtansicht'!BQ69</f>
        <v>0</v>
      </c>
      <c r="BR21" s="250">
        <f>-'KTR-Ausweis Gesamtansicht'!BR69</f>
        <v>0</v>
      </c>
      <c r="BS21" s="368">
        <f t="shared" si="4"/>
        <v>0</v>
      </c>
      <c r="BT21" s="250">
        <f>-'KTR-Ausweis Gesamtansicht'!BT69</f>
        <v>0</v>
      </c>
      <c r="BU21" s="250">
        <f>-'KTR-Ausweis Gesamtansicht'!BU69</f>
        <v>0</v>
      </c>
      <c r="BV21" s="250">
        <f>-'KTR-Ausweis Gesamtansicht'!BV69</f>
        <v>0</v>
      </c>
      <c r="BW21" s="367">
        <f>R21+BF21+BS21+BT21+BU21+BV21</f>
        <v>0</v>
      </c>
      <c r="BX21" s="250">
        <f>-'KTR-Ausweis Gesamtansicht'!BX69</f>
        <v>0</v>
      </c>
      <c r="BY21" s="250">
        <f>-'KTR-Ausweis Gesamtansicht'!BY69</f>
        <v>0</v>
      </c>
      <c r="BZ21" s="250">
        <f>-'KTR-Ausweis Gesamtansicht'!BZ69</f>
        <v>0</v>
      </c>
      <c r="CA21" s="250">
        <f>-'KTR-Ausweis Gesamtansicht'!CA69</f>
        <v>0</v>
      </c>
      <c r="CB21" s="250">
        <f>-'KTR-Ausweis Gesamtansicht'!CB69</f>
        <v>0</v>
      </c>
      <c r="CC21" s="250">
        <f>-'KTR-Ausweis Gesamtansicht'!CC69</f>
        <v>0</v>
      </c>
      <c r="CD21" s="250">
        <f>-'KTR-Ausweis Gesamtansicht'!CD69</f>
        <v>0</v>
      </c>
      <c r="CE21" s="248">
        <f>SUM(BX21:CD21)</f>
        <v>0</v>
      </c>
      <c r="CF21" s="250">
        <f>-'KTR-Ausweis Gesamtansicht'!CF69</f>
        <v>0</v>
      </c>
      <c r="CG21" s="250">
        <f>-'KTR-Ausweis Gesamtansicht'!CG69</f>
        <v>0</v>
      </c>
      <c r="CH21" s="250">
        <f>'KTR-Ausweis Gesamtansicht'!CH69*-1</f>
        <v>0</v>
      </c>
      <c r="CI21" s="368">
        <f>F21+BW21+CE21+CF21+CG21+CH21</f>
        <v>0</v>
      </c>
      <c r="CJ21" s="377">
        <f>-CI21-E12+H21+G21</f>
        <v>0</v>
      </c>
      <c r="CK21" s="250">
        <f>'KTR-Ausweis Gesamtansicht'!CK69*-1</f>
        <v>0</v>
      </c>
      <c r="CL21" s="250">
        <f>'KTR-Ausweis Gesamtansicht'!CL69*-1</f>
        <v>0</v>
      </c>
      <c r="CM21" s="250">
        <f>'KTR-Ausweis Gesamtansicht'!CM69*-1</f>
        <v>0</v>
      </c>
      <c r="CN21" s="250">
        <f>'KTR-Ausweis Gesamtansicht'!CN69*-1</f>
        <v>0</v>
      </c>
      <c r="CO21" s="250">
        <f>'KTR-Ausweis Gesamtansicht'!CO69*-1</f>
        <v>0</v>
      </c>
      <c r="CP21" s="250">
        <f>'KTR-Ausweis Gesamtansicht'!CP69*-1</f>
        <v>0</v>
      </c>
      <c r="CQ21" s="250">
        <f>'KTR-Ausweis Gesamtansicht'!CQ69*-1</f>
        <v>0</v>
      </c>
      <c r="CR21" s="250">
        <f>'KTR-Ausweis Gesamtansicht'!CR69*-1</f>
        <v>0</v>
      </c>
      <c r="CS21" s="251">
        <f>'KTR-Ausweis Gesamtansicht'!CS69*-1</f>
        <v>0</v>
      </c>
      <c r="CT21" s="251">
        <f>'KTR-Ausweis Gesamtansicht'!CT69*-1</f>
        <v>0</v>
      </c>
      <c r="CU21" s="251">
        <f>'KTR-Ausweis Gesamtansicht'!CU69*-1</f>
        <v>0</v>
      </c>
      <c r="CV21" s="594">
        <f>SUM(CK21:CU21)-CH21-'KTR-Ausweis Gesamtansicht'!CV69</f>
        <v>0</v>
      </c>
      <c r="CW21" s="431"/>
      <c r="CX21" s="431"/>
      <c r="CY21" s="431"/>
    </row>
    <row r="22" spans="1:103" s="28" customFormat="1">
      <c r="A22" s="111">
        <v>65</v>
      </c>
      <c r="B22" s="107" t="s">
        <v>96</v>
      </c>
      <c r="C22" s="103"/>
      <c r="D22" s="354"/>
      <c r="E22" s="104"/>
      <c r="F22" s="1050"/>
      <c r="G22" s="369"/>
      <c r="H22" s="252"/>
      <c r="I22" s="250">
        <f>Zusatzinfos!C47</f>
        <v>0</v>
      </c>
      <c r="J22" s="367">
        <f>Zusatzinfos!D47</f>
        <v>0</v>
      </c>
      <c r="K22" s="367">
        <f t="shared" si="32"/>
        <v>0</v>
      </c>
      <c r="L22" s="250">
        <f>Zusatzinfos!E47</f>
        <v>0</v>
      </c>
      <c r="M22" s="250">
        <f>Zusatzinfos!F47</f>
        <v>0</v>
      </c>
      <c r="N22" s="367">
        <f t="shared" si="15"/>
        <v>0</v>
      </c>
      <c r="O22" s="250">
        <f>Zusatzinfos!G47</f>
        <v>0</v>
      </c>
      <c r="P22" s="367">
        <f>Zusatzinfos!H47</f>
        <v>0</v>
      </c>
      <c r="Q22" s="367">
        <f>Zusatzinfos!I47</f>
        <v>0</v>
      </c>
      <c r="R22" s="248">
        <f>K22+N22+O22+P22+Q22</f>
        <v>0</v>
      </c>
      <c r="S22" s="250">
        <f>Zusatzinfos!K47</f>
        <v>0</v>
      </c>
      <c r="T22" s="367">
        <f>Zusatzinfos!L47</f>
        <v>0</v>
      </c>
      <c r="U22" s="367">
        <f>Zusatzinfos!M47</f>
        <v>0</v>
      </c>
      <c r="V22" s="367">
        <f>Zusatzinfos!N47</f>
        <v>0</v>
      </c>
      <c r="W22" s="367">
        <f>Zusatzinfos!O47</f>
        <v>0</v>
      </c>
      <c r="X22" s="367">
        <f>Zusatzinfos!P47</f>
        <v>0</v>
      </c>
      <c r="Y22" s="367">
        <f>Zusatzinfos!Q47</f>
        <v>0</v>
      </c>
      <c r="Z22" s="367">
        <f>Zusatzinfos!R47</f>
        <v>0</v>
      </c>
      <c r="AA22" s="367">
        <f>Zusatzinfos!S47</f>
        <v>0</v>
      </c>
      <c r="AB22" s="367">
        <f>Zusatzinfos!T47</f>
        <v>0</v>
      </c>
      <c r="AC22" s="367">
        <f>Zusatzinfos!U47</f>
        <v>0</v>
      </c>
      <c r="AD22" s="367">
        <f>Zusatzinfos!V47</f>
        <v>0</v>
      </c>
      <c r="AE22" s="367">
        <f>Zusatzinfos!W47</f>
        <v>0</v>
      </c>
      <c r="AF22" s="367">
        <f>Zusatzinfos!X47</f>
        <v>0</v>
      </c>
      <c r="AG22" s="367">
        <f>Zusatzinfos!Y47</f>
        <v>0</v>
      </c>
      <c r="AH22" s="367">
        <f>Zusatzinfos!Z47</f>
        <v>0</v>
      </c>
      <c r="AI22" s="367">
        <f>Zusatzinfos!AA47</f>
        <v>0</v>
      </c>
      <c r="AJ22" s="367">
        <f>Zusatzinfos!AB47</f>
        <v>0</v>
      </c>
      <c r="AK22" s="367">
        <f>Zusatzinfos!AC47</f>
        <v>0</v>
      </c>
      <c r="AL22" s="367">
        <f>Zusatzinfos!AD47</f>
        <v>0</v>
      </c>
      <c r="AM22" s="367">
        <f>Zusatzinfos!AE47</f>
        <v>0</v>
      </c>
      <c r="AN22" s="367">
        <f>Zusatzinfos!AF47</f>
        <v>0</v>
      </c>
      <c r="AO22" s="367">
        <f>Zusatzinfos!AG47</f>
        <v>0</v>
      </c>
      <c r="AP22" s="367">
        <f>Zusatzinfos!AH47</f>
        <v>0</v>
      </c>
      <c r="AQ22" s="367">
        <f>Zusatzinfos!AI47</f>
        <v>0</v>
      </c>
      <c r="AR22" s="367">
        <f>Zusatzinfos!AJ47</f>
        <v>0</v>
      </c>
      <c r="AS22" s="367">
        <f>Zusatzinfos!AK47</f>
        <v>0</v>
      </c>
      <c r="AT22" s="367">
        <f>Zusatzinfos!AL47</f>
        <v>0</v>
      </c>
      <c r="AU22" s="367">
        <f>Zusatzinfos!AM47</f>
        <v>0</v>
      </c>
      <c r="AV22" s="367">
        <f>Zusatzinfos!AN47</f>
        <v>0</v>
      </c>
      <c r="AW22" s="367">
        <f>Zusatzinfos!AO47</f>
        <v>0</v>
      </c>
      <c r="AX22" s="367">
        <f>Zusatzinfos!AP47</f>
        <v>0</v>
      </c>
      <c r="AY22" s="367">
        <f>Zusatzinfos!AQ47</f>
        <v>0</v>
      </c>
      <c r="AZ22" s="367">
        <f>Zusatzinfos!AR47</f>
        <v>0</v>
      </c>
      <c r="BA22" s="367">
        <f>Zusatzinfos!AS47</f>
        <v>0</v>
      </c>
      <c r="BB22" s="367">
        <f>Zusatzinfos!AT47</f>
        <v>0</v>
      </c>
      <c r="BC22" s="367">
        <f>Zusatzinfos!AU47</f>
        <v>0</v>
      </c>
      <c r="BD22" s="367">
        <f>Zusatzinfos!AV47</f>
        <v>0</v>
      </c>
      <c r="BE22" s="367">
        <f>Zusatzinfos!AW47</f>
        <v>0</v>
      </c>
      <c r="BF22" s="369">
        <f>SUM(S22:BE22)</f>
        <v>0</v>
      </c>
      <c r="BG22" s="250">
        <f>Zusatzinfos!AY47</f>
        <v>0</v>
      </c>
      <c r="BH22" s="367">
        <f>Zusatzinfos!AZ47</f>
        <v>0</v>
      </c>
      <c r="BI22" s="367">
        <f>Zusatzinfos!BA47</f>
        <v>0</v>
      </c>
      <c r="BJ22" s="367">
        <f>Zusatzinfos!BB47</f>
        <v>0</v>
      </c>
      <c r="BK22" s="367">
        <f>Zusatzinfos!BC47</f>
        <v>0</v>
      </c>
      <c r="BL22" s="367">
        <f>Zusatzinfos!BD47</f>
        <v>0</v>
      </c>
      <c r="BM22" s="367">
        <f>Zusatzinfos!BE47</f>
        <v>0</v>
      </c>
      <c r="BN22" s="367">
        <f>Zusatzinfos!BF47</f>
        <v>0</v>
      </c>
      <c r="BO22" s="367">
        <f>Zusatzinfos!BG47</f>
        <v>0</v>
      </c>
      <c r="BP22" s="367">
        <f>Zusatzinfos!BH47</f>
        <v>0</v>
      </c>
      <c r="BQ22" s="367">
        <f>Zusatzinfos!BI47</f>
        <v>0</v>
      </c>
      <c r="BR22" s="367">
        <f>Zusatzinfos!BJ47</f>
        <v>0</v>
      </c>
      <c r="BS22" s="368">
        <f t="shared" si="4"/>
        <v>0</v>
      </c>
      <c r="BT22" s="250">
        <f>Zusatzinfos!BL47</f>
        <v>0</v>
      </c>
      <c r="BU22" s="367">
        <f>Zusatzinfos!BM47</f>
        <v>0</v>
      </c>
      <c r="BV22" s="367">
        <f>Zusatzinfos!BN47</f>
        <v>0</v>
      </c>
      <c r="BW22" s="367">
        <f>R22+BF22+BS22+BT22+BU22+BV22</f>
        <v>0</v>
      </c>
      <c r="BX22" s="250">
        <f>Zusatzinfos!C54</f>
        <v>0</v>
      </c>
      <c r="BY22" s="367">
        <f>Zusatzinfos!D54</f>
        <v>0</v>
      </c>
      <c r="BZ22" s="367">
        <f>Zusatzinfos!E54</f>
        <v>0</v>
      </c>
      <c r="CA22" s="367">
        <f>Zusatzinfos!F54</f>
        <v>0</v>
      </c>
      <c r="CB22" s="367">
        <f>Zusatzinfos!G54</f>
        <v>0</v>
      </c>
      <c r="CC22" s="367">
        <f>Zusatzinfos!H54</f>
        <v>0</v>
      </c>
      <c r="CD22" s="367">
        <f>Zusatzinfos!I54</f>
        <v>0</v>
      </c>
      <c r="CE22" s="248">
        <f>SUM(BX22:CD22)</f>
        <v>0</v>
      </c>
      <c r="CF22" s="250">
        <f>-'KTR-Ausweis Gesamtansicht'!CF16*(100%-$D$22)</f>
        <v>0</v>
      </c>
      <c r="CG22" s="250">
        <f>-'KTR-Ausweis Gesamtansicht'!CG16*(100%-$D$22)</f>
        <v>0</v>
      </c>
      <c r="CH22" s="250">
        <f>Zusatzinfos!K54</f>
        <v>0</v>
      </c>
      <c r="CI22" s="368">
        <f>F22+BW22+CE22+CF22+CG22+CH22</f>
        <v>0</v>
      </c>
      <c r="CJ22" s="249"/>
      <c r="CK22" s="250"/>
      <c r="CL22" s="250"/>
      <c r="CM22" s="250"/>
      <c r="CN22" s="250"/>
      <c r="CO22" s="250"/>
      <c r="CP22" s="250"/>
      <c r="CQ22" s="250"/>
      <c r="CR22" s="251"/>
      <c r="CS22" s="251"/>
      <c r="CT22" s="251"/>
      <c r="CU22" s="251"/>
      <c r="CV22" s="594"/>
      <c r="CW22" s="579"/>
      <c r="CX22" s="579"/>
      <c r="CY22" s="579"/>
    </row>
    <row r="23" spans="1:103" s="28" customFormat="1">
      <c r="A23" s="111">
        <v>66</v>
      </c>
      <c r="B23" s="108" t="s">
        <v>153</v>
      </c>
      <c r="C23" s="1054"/>
      <c r="D23" s="104"/>
      <c r="E23" s="104" t="e">
        <f>(+C23-F23)/CI19*(CI19-SUM(G19:H19))</f>
        <v>#DIV/0!</v>
      </c>
      <c r="F23" s="1055"/>
      <c r="G23" s="369"/>
      <c r="H23" s="252"/>
      <c r="I23" s="250" t="e">
        <f>+$E$23/($CI$19-$F$19)*I19</f>
        <v>#DIV/0!</v>
      </c>
      <c r="J23" s="250" t="e">
        <f>+$E$23/($CI$19-$F$19)*J19</f>
        <v>#DIV/0!</v>
      </c>
      <c r="K23" s="367" t="e">
        <f t="shared" si="32"/>
        <v>#DIV/0!</v>
      </c>
      <c r="L23" s="250" t="e">
        <f>+$E$23/($CI$19-$F$19)*L19</f>
        <v>#DIV/0!</v>
      </c>
      <c r="M23" s="250" t="e">
        <f>+$E$23/($CI$19-$F$19)*M19</f>
        <v>#DIV/0!</v>
      </c>
      <c r="N23" s="367" t="e">
        <f t="shared" si="15"/>
        <v>#DIV/0!</v>
      </c>
      <c r="O23" s="250" t="e">
        <f>+$E$23/($CI$19-$F$19)*O19</f>
        <v>#DIV/0!</v>
      </c>
      <c r="P23" s="250" t="e">
        <f>+$E$23/($CI$19-$F$19)*P19</f>
        <v>#DIV/0!</v>
      </c>
      <c r="Q23" s="250" t="e">
        <f>+$E$23/($CI$19-$F$19)*Q19</f>
        <v>#DIV/0!</v>
      </c>
      <c r="R23" s="248" t="e">
        <f>K23+N23+O23+P23+Q23</f>
        <v>#DIV/0!</v>
      </c>
      <c r="S23" s="250" t="e">
        <f t="shared" ref="S23:AP23" si="33">+$E$23/($CI$19-$F$19)*S19</f>
        <v>#DIV/0!</v>
      </c>
      <c r="T23" s="367" t="e">
        <f t="shared" si="33"/>
        <v>#DIV/0!</v>
      </c>
      <c r="U23" s="367" t="e">
        <f t="shared" si="33"/>
        <v>#DIV/0!</v>
      </c>
      <c r="V23" s="367" t="e">
        <f t="shared" si="33"/>
        <v>#DIV/0!</v>
      </c>
      <c r="W23" s="367" t="e">
        <f t="shared" si="33"/>
        <v>#DIV/0!</v>
      </c>
      <c r="X23" s="367" t="e">
        <f t="shared" si="33"/>
        <v>#DIV/0!</v>
      </c>
      <c r="Y23" s="367" t="e">
        <f t="shared" si="33"/>
        <v>#DIV/0!</v>
      </c>
      <c r="Z23" s="367" t="e">
        <f t="shared" si="33"/>
        <v>#DIV/0!</v>
      </c>
      <c r="AA23" s="367" t="e">
        <f t="shared" si="33"/>
        <v>#DIV/0!</v>
      </c>
      <c r="AB23" s="367" t="e">
        <f t="shared" si="33"/>
        <v>#DIV/0!</v>
      </c>
      <c r="AC23" s="367" t="e">
        <f t="shared" si="33"/>
        <v>#DIV/0!</v>
      </c>
      <c r="AD23" s="367" t="e">
        <f t="shared" si="33"/>
        <v>#DIV/0!</v>
      </c>
      <c r="AE23" s="367" t="e">
        <f t="shared" si="33"/>
        <v>#DIV/0!</v>
      </c>
      <c r="AF23" s="367" t="e">
        <f t="shared" si="33"/>
        <v>#DIV/0!</v>
      </c>
      <c r="AG23" s="367" t="e">
        <f t="shared" si="33"/>
        <v>#DIV/0!</v>
      </c>
      <c r="AH23" s="367" t="e">
        <f t="shared" si="33"/>
        <v>#DIV/0!</v>
      </c>
      <c r="AI23" s="367" t="e">
        <f t="shared" si="33"/>
        <v>#DIV/0!</v>
      </c>
      <c r="AJ23" s="367" t="e">
        <f t="shared" si="33"/>
        <v>#DIV/0!</v>
      </c>
      <c r="AK23" s="367" t="e">
        <f t="shared" si="33"/>
        <v>#DIV/0!</v>
      </c>
      <c r="AL23" s="367" t="e">
        <f t="shared" si="33"/>
        <v>#DIV/0!</v>
      </c>
      <c r="AM23" s="367" t="e">
        <f t="shared" si="33"/>
        <v>#DIV/0!</v>
      </c>
      <c r="AN23" s="367" t="e">
        <f t="shared" si="33"/>
        <v>#DIV/0!</v>
      </c>
      <c r="AO23" s="367" t="e">
        <f t="shared" si="33"/>
        <v>#DIV/0!</v>
      </c>
      <c r="AP23" s="367" t="e">
        <f t="shared" si="33"/>
        <v>#DIV/0!</v>
      </c>
      <c r="AQ23" s="367" t="e">
        <f t="shared" ref="AQ23:AT23" si="34">+$E$23/($CI$19-$F$19)*AQ19</f>
        <v>#DIV/0!</v>
      </c>
      <c r="AR23" s="367" t="e">
        <f t="shared" si="34"/>
        <v>#DIV/0!</v>
      </c>
      <c r="AS23" s="367" t="e">
        <f t="shared" si="34"/>
        <v>#DIV/0!</v>
      </c>
      <c r="AT23" s="367" t="e">
        <f t="shared" si="34"/>
        <v>#DIV/0!</v>
      </c>
      <c r="AU23" s="367" t="e">
        <f t="shared" ref="AU23:BE23" si="35">+$E$23/($CI$19-$F$19)*AU19</f>
        <v>#DIV/0!</v>
      </c>
      <c r="AV23" s="367" t="e">
        <f t="shared" si="35"/>
        <v>#DIV/0!</v>
      </c>
      <c r="AW23" s="367" t="e">
        <f t="shared" si="35"/>
        <v>#DIV/0!</v>
      </c>
      <c r="AX23" s="367" t="e">
        <f t="shared" si="35"/>
        <v>#DIV/0!</v>
      </c>
      <c r="AY23" s="367" t="e">
        <f t="shared" si="35"/>
        <v>#DIV/0!</v>
      </c>
      <c r="AZ23" s="367" t="e">
        <f t="shared" si="35"/>
        <v>#DIV/0!</v>
      </c>
      <c r="BA23" s="367" t="e">
        <f t="shared" si="35"/>
        <v>#DIV/0!</v>
      </c>
      <c r="BB23" s="367" t="e">
        <f t="shared" si="35"/>
        <v>#DIV/0!</v>
      </c>
      <c r="BC23" s="367" t="e">
        <f t="shared" si="35"/>
        <v>#DIV/0!</v>
      </c>
      <c r="BD23" s="367" t="e">
        <f t="shared" si="35"/>
        <v>#DIV/0!</v>
      </c>
      <c r="BE23" s="367" t="e">
        <f t="shared" si="35"/>
        <v>#DIV/0!</v>
      </c>
      <c r="BF23" s="367" t="e">
        <f>SUM(S23:BE23)</f>
        <v>#DIV/0!</v>
      </c>
      <c r="BG23" s="250" t="e">
        <f t="shared" ref="BG23:BR23" si="36">+$E$23/($CI$19-$F$19)*BG19</f>
        <v>#DIV/0!</v>
      </c>
      <c r="BH23" s="367" t="e">
        <f t="shared" si="36"/>
        <v>#DIV/0!</v>
      </c>
      <c r="BI23" s="367" t="e">
        <f t="shared" si="36"/>
        <v>#DIV/0!</v>
      </c>
      <c r="BJ23" s="367" t="e">
        <f t="shared" si="36"/>
        <v>#DIV/0!</v>
      </c>
      <c r="BK23" s="367" t="e">
        <f t="shared" si="36"/>
        <v>#DIV/0!</v>
      </c>
      <c r="BL23" s="367" t="e">
        <f t="shared" si="36"/>
        <v>#DIV/0!</v>
      </c>
      <c r="BM23" s="367" t="e">
        <f t="shared" si="36"/>
        <v>#DIV/0!</v>
      </c>
      <c r="BN23" s="367" t="e">
        <f t="shared" si="36"/>
        <v>#DIV/0!</v>
      </c>
      <c r="BO23" s="367" t="e">
        <f t="shared" si="36"/>
        <v>#DIV/0!</v>
      </c>
      <c r="BP23" s="367" t="e">
        <f t="shared" si="36"/>
        <v>#DIV/0!</v>
      </c>
      <c r="BQ23" s="367" t="e">
        <f t="shared" si="36"/>
        <v>#DIV/0!</v>
      </c>
      <c r="BR23" s="367" t="e">
        <f t="shared" si="36"/>
        <v>#DIV/0!</v>
      </c>
      <c r="BS23" s="368" t="e">
        <f t="shared" si="4"/>
        <v>#DIV/0!</v>
      </c>
      <c r="BT23" s="250" t="e">
        <f>+$E$23/($CI$19-$F$19)*BT19</f>
        <v>#DIV/0!</v>
      </c>
      <c r="BU23" s="250" t="e">
        <f>+$E$23/($CI$19-$F$19)*BU19</f>
        <v>#DIV/0!</v>
      </c>
      <c r="BV23" s="250" t="e">
        <f>+$E$23/($CI$19-$F$19)*BV19</f>
        <v>#DIV/0!</v>
      </c>
      <c r="BW23" s="367" t="e">
        <f>R23+BF23+BS23+BT23+BU23+BV23</f>
        <v>#DIV/0!</v>
      </c>
      <c r="BX23" s="250" t="e">
        <f t="shared" ref="BX23:CD23" si="37">+$E$23/($CI$19-$F$19)*BX19</f>
        <v>#DIV/0!</v>
      </c>
      <c r="BY23" s="367" t="e">
        <f t="shared" si="37"/>
        <v>#DIV/0!</v>
      </c>
      <c r="BZ23" s="367" t="e">
        <f t="shared" si="37"/>
        <v>#DIV/0!</v>
      </c>
      <c r="CA23" s="367" t="e">
        <f t="shared" si="37"/>
        <v>#DIV/0!</v>
      </c>
      <c r="CB23" s="367" t="e">
        <f t="shared" si="37"/>
        <v>#DIV/0!</v>
      </c>
      <c r="CC23" s="367" t="e">
        <f t="shared" si="37"/>
        <v>#DIV/0!</v>
      </c>
      <c r="CD23" s="367" t="e">
        <f t="shared" si="37"/>
        <v>#DIV/0!</v>
      </c>
      <c r="CE23" s="248" t="e">
        <f>SUM(BX23:CD23)</f>
        <v>#DIV/0!</v>
      </c>
      <c r="CF23" s="250" t="e">
        <f>+$E$23/($CI$19-$F$19)*CF19</f>
        <v>#DIV/0!</v>
      </c>
      <c r="CG23" s="250" t="e">
        <f>+$E$23/($CI$19-$F$19)*CG19</f>
        <v>#DIV/0!</v>
      </c>
      <c r="CH23" s="250" t="e">
        <f>+$E$23/($CI$19-$F$19)*CH19</f>
        <v>#DIV/0!</v>
      </c>
      <c r="CI23" s="368" t="e">
        <f>F23+BW23+CE23+CF23+CG23+CH23</f>
        <v>#DIV/0!</v>
      </c>
      <c r="CJ23" s="249" t="e">
        <f>+CI23-C23-F23-E23+C23</f>
        <v>#DIV/0!</v>
      </c>
      <c r="CK23" s="250"/>
      <c r="CL23" s="250"/>
      <c r="CM23" s="250"/>
      <c r="CN23" s="250"/>
      <c r="CO23" s="250"/>
      <c r="CP23" s="251"/>
      <c r="CQ23" s="250"/>
      <c r="CR23" s="251"/>
      <c r="CS23" s="251"/>
      <c r="CT23" s="251"/>
      <c r="CU23" s="251"/>
      <c r="CV23" s="594"/>
      <c r="CW23" s="579"/>
      <c r="CX23" s="579"/>
      <c r="CY23" s="579"/>
    </row>
    <row r="24" spans="1:103">
      <c r="A24" s="621"/>
      <c r="B24" s="106" t="s">
        <v>105</v>
      </c>
      <c r="C24" s="3"/>
      <c r="D24" s="4"/>
      <c r="E24" s="4"/>
      <c r="F24" s="365">
        <f t="shared" ref="F24:AN24" si="38">SUM(F19:F23)</f>
        <v>0</v>
      </c>
      <c r="G24" s="378">
        <f t="shared" si="38"/>
        <v>0</v>
      </c>
      <c r="H24" s="365">
        <f t="shared" si="38"/>
        <v>0</v>
      </c>
      <c r="I24" s="365" t="e">
        <f t="shared" si="38"/>
        <v>#DIV/0!</v>
      </c>
      <c r="J24" s="365" t="e">
        <f t="shared" si="38"/>
        <v>#DIV/0!</v>
      </c>
      <c r="K24" s="378" t="e">
        <f t="shared" si="32"/>
        <v>#DIV/0!</v>
      </c>
      <c r="L24" s="365" t="e">
        <f t="shared" si="38"/>
        <v>#DIV/0!</v>
      </c>
      <c r="M24" s="365" t="e">
        <f t="shared" si="38"/>
        <v>#DIV/0!</v>
      </c>
      <c r="N24" s="378" t="e">
        <f t="shared" si="15"/>
        <v>#DIV/0!</v>
      </c>
      <c r="O24" s="365" t="e">
        <f t="shared" si="38"/>
        <v>#DIV/0!</v>
      </c>
      <c r="P24" s="365" t="e">
        <f t="shared" si="38"/>
        <v>#DIV/0!</v>
      </c>
      <c r="Q24" s="365" t="e">
        <f t="shared" si="38"/>
        <v>#DIV/0!</v>
      </c>
      <c r="R24" s="365" t="e">
        <f t="shared" si="38"/>
        <v>#DIV/0!</v>
      </c>
      <c r="S24" s="365" t="e">
        <f t="shared" si="38"/>
        <v>#DIV/0!</v>
      </c>
      <c r="T24" s="365" t="e">
        <f t="shared" si="38"/>
        <v>#DIV/0!</v>
      </c>
      <c r="U24" s="365" t="e">
        <f t="shared" si="38"/>
        <v>#DIV/0!</v>
      </c>
      <c r="V24" s="365" t="e">
        <f t="shared" si="38"/>
        <v>#DIV/0!</v>
      </c>
      <c r="W24" s="365" t="e">
        <f t="shared" si="38"/>
        <v>#DIV/0!</v>
      </c>
      <c r="X24" s="365" t="e">
        <f t="shared" si="38"/>
        <v>#DIV/0!</v>
      </c>
      <c r="Y24" s="365" t="e">
        <f t="shared" si="38"/>
        <v>#DIV/0!</v>
      </c>
      <c r="Z24" s="365" t="e">
        <f t="shared" si="38"/>
        <v>#DIV/0!</v>
      </c>
      <c r="AA24" s="365" t="e">
        <f t="shared" si="38"/>
        <v>#DIV/0!</v>
      </c>
      <c r="AB24" s="365" t="e">
        <f t="shared" si="38"/>
        <v>#DIV/0!</v>
      </c>
      <c r="AC24" s="365" t="e">
        <f t="shared" si="38"/>
        <v>#DIV/0!</v>
      </c>
      <c r="AD24" s="365" t="e">
        <f t="shared" si="38"/>
        <v>#DIV/0!</v>
      </c>
      <c r="AE24" s="365" t="e">
        <f t="shared" si="38"/>
        <v>#DIV/0!</v>
      </c>
      <c r="AF24" s="365" t="e">
        <f t="shared" si="38"/>
        <v>#DIV/0!</v>
      </c>
      <c r="AG24" s="365" t="e">
        <f t="shared" si="38"/>
        <v>#DIV/0!</v>
      </c>
      <c r="AH24" s="365" t="e">
        <f t="shared" si="38"/>
        <v>#DIV/0!</v>
      </c>
      <c r="AI24" s="365" t="e">
        <f t="shared" si="38"/>
        <v>#DIV/0!</v>
      </c>
      <c r="AJ24" s="365" t="e">
        <f t="shared" si="38"/>
        <v>#DIV/0!</v>
      </c>
      <c r="AK24" s="365" t="e">
        <f t="shared" si="38"/>
        <v>#DIV/0!</v>
      </c>
      <c r="AL24" s="365" t="e">
        <f t="shared" si="38"/>
        <v>#DIV/0!</v>
      </c>
      <c r="AM24" s="365" t="e">
        <f t="shared" si="38"/>
        <v>#DIV/0!</v>
      </c>
      <c r="AN24" s="365" t="e">
        <f t="shared" si="38"/>
        <v>#DIV/0!</v>
      </c>
      <c r="AO24" s="365" t="e">
        <f t="shared" ref="AO24:CH24" si="39">SUM(AO19:AO23)</f>
        <v>#DIV/0!</v>
      </c>
      <c r="AP24" s="365" t="e">
        <f t="shared" si="39"/>
        <v>#DIV/0!</v>
      </c>
      <c r="AQ24" s="378" t="e">
        <f t="shared" ref="AQ24:AT24" si="40">SUM(AQ19:AQ23)</f>
        <v>#DIV/0!</v>
      </c>
      <c r="AR24" s="378" t="e">
        <f t="shared" si="40"/>
        <v>#DIV/0!</v>
      </c>
      <c r="AS24" s="378" t="e">
        <f t="shared" si="40"/>
        <v>#DIV/0!</v>
      </c>
      <c r="AT24" s="378" t="e">
        <f t="shared" si="40"/>
        <v>#DIV/0!</v>
      </c>
      <c r="AU24" s="378" t="e">
        <f t="shared" ref="AU24:AX24" si="41">SUM(AU19:AU23)</f>
        <v>#DIV/0!</v>
      </c>
      <c r="AV24" s="378" t="e">
        <f t="shared" si="41"/>
        <v>#DIV/0!</v>
      </c>
      <c r="AW24" s="378" t="e">
        <f t="shared" si="41"/>
        <v>#DIV/0!</v>
      </c>
      <c r="AX24" s="378" t="e">
        <f t="shared" si="41"/>
        <v>#DIV/0!</v>
      </c>
      <c r="AY24" s="378" t="e">
        <f t="shared" ref="AY24:BB24" si="42">SUM(AY19:AY23)</f>
        <v>#DIV/0!</v>
      </c>
      <c r="AZ24" s="378" t="e">
        <f t="shared" si="42"/>
        <v>#DIV/0!</v>
      </c>
      <c r="BA24" s="378" t="e">
        <f t="shared" si="42"/>
        <v>#DIV/0!</v>
      </c>
      <c r="BB24" s="378" t="e">
        <f t="shared" si="42"/>
        <v>#DIV/0!</v>
      </c>
      <c r="BC24" s="378" t="e">
        <f>SUM(BC19:BC23)</f>
        <v>#DIV/0!</v>
      </c>
      <c r="BD24" s="365" t="e">
        <f t="shared" si="39"/>
        <v>#DIV/0!</v>
      </c>
      <c r="BE24" s="365" t="e">
        <f t="shared" si="39"/>
        <v>#DIV/0!</v>
      </c>
      <c r="BF24" s="365" t="e">
        <f t="shared" si="39"/>
        <v>#DIV/0!</v>
      </c>
      <c r="BG24" s="365" t="e">
        <f t="shared" si="39"/>
        <v>#DIV/0!</v>
      </c>
      <c r="BH24" s="365" t="e">
        <f t="shared" si="39"/>
        <v>#DIV/0!</v>
      </c>
      <c r="BI24" s="365" t="e">
        <f t="shared" si="39"/>
        <v>#DIV/0!</v>
      </c>
      <c r="BJ24" s="365" t="e">
        <f t="shared" si="39"/>
        <v>#DIV/0!</v>
      </c>
      <c r="BK24" s="365" t="e">
        <f t="shared" si="39"/>
        <v>#DIV/0!</v>
      </c>
      <c r="BL24" s="365" t="e">
        <f t="shared" si="39"/>
        <v>#DIV/0!</v>
      </c>
      <c r="BM24" s="365" t="e">
        <f t="shared" si="39"/>
        <v>#DIV/0!</v>
      </c>
      <c r="BN24" s="365" t="e">
        <f t="shared" si="39"/>
        <v>#DIV/0!</v>
      </c>
      <c r="BO24" s="365" t="e">
        <f t="shared" si="39"/>
        <v>#DIV/0!</v>
      </c>
      <c r="BP24" s="365" t="e">
        <f t="shared" si="39"/>
        <v>#DIV/0!</v>
      </c>
      <c r="BQ24" s="365" t="e">
        <f t="shared" si="39"/>
        <v>#DIV/0!</v>
      </c>
      <c r="BR24" s="365" t="e">
        <f t="shared" si="39"/>
        <v>#DIV/0!</v>
      </c>
      <c r="BS24" s="365" t="e">
        <f t="shared" si="39"/>
        <v>#DIV/0!</v>
      </c>
      <c r="BT24" s="365" t="e">
        <f t="shared" si="39"/>
        <v>#DIV/0!</v>
      </c>
      <c r="BU24" s="365" t="e">
        <f t="shared" si="39"/>
        <v>#DIV/0!</v>
      </c>
      <c r="BV24" s="365" t="e">
        <f t="shared" si="39"/>
        <v>#DIV/0!</v>
      </c>
      <c r="BW24" s="378" t="e">
        <f t="shared" ref="BW24:CE24" si="43">SUM(BW19:BW23)</f>
        <v>#DIV/0!</v>
      </c>
      <c r="BX24" s="365" t="e">
        <f t="shared" si="43"/>
        <v>#DIV/0!</v>
      </c>
      <c r="BY24" s="365" t="e">
        <f t="shared" si="43"/>
        <v>#DIV/0!</v>
      </c>
      <c r="BZ24" s="365" t="e">
        <f t="shared" si="43"/>
        <v>#DIV/0!</v>
      </c>
      <c r="CA24" s="365" t="e">
        <f t="shared" si="43"/>
        <v>#DIV/0!</v>
      </c>
      <c r="CB24" s="365" t="e">
        <f t="shared" si="43"/>
        <v>#DIV/0!</v>
      </c>
      <c r="CC24" s="365" t="e">
        <f t="shared" si="43"/>
        <v>#DIV/0!</v>
      </c>
      <c r="CD24" s="365" t="e">
        <f t="shared" si="43"/>
        <v>#DIV/0!</v>
      </c>
      <c r="CE24" s="365" t="e">
        <f t="shared" si="43"/>
        <v>#DIV/0!</v>
      </c>
      <c r="CF24" s="370" t="e">
        <f t="shared" si="39"/>
        <v>#DIV/0!</v>
      </c>
      <c r="CG24" s="365" t="e">
        <f t="shared" si="39"/>
        <v>#DIV/0!</v>
      </c>
      <c r="CH24" s="365" t="e">
        <f t="shared" si="39"/>
        <v>#DIV/0!</v>
      </c>
      <c r="CI24" s="365" t="e">
        <f t="shared" ref="CI24:CU24" si="44">SUM(CI19:CI23)</f>
        <v>#DIV/0!</v>
      </c>
      <c r="CJ24" s="366" t="e">
        <f>SUM(CJ19:CJ23)</f>
        <v>#DIV/0!</v>
      </c>
      <c r="CK24" s="366">
        <f t="shared" si="44"/>
        <v>0</v>
      </c>
      <c r="CL24" s="366">
        <f t="shared" si="44"/>
        <v>0</v>
      </c>
      <c r="CM24" s="366">
        <f t="shared" si="44"/>
        <v>0</v>
      </c>
      <c r="CN24" s="366">
        <f t="shared" si="44"/>
        <v>0</v>
      </c>
      <c r="CO24" s="366">
        <f t="shared" si="44"/>
        <v>0</v>
      </c>
      <c r="CP24" s="366">
        <f t="shared" si="44"/>
        <v>0</v>
      </c>
      <c r="CQ24" s="366">
        <f t="shared" si="44"/>
        <v>0</v>
      </c>
      <c r="CR24" s="574">
        <f t="shared" si="44"/>
        <v>0</v>
      </c>
      <c r="CS24" s="574">
        <f t="shared" si="44"/>
        <v>0</v>
      </c>
      <c r="CT24" s="574">
        <f t="shared" si="44"/>
        <v>0</v>
      </c>
      <c r="CU24" s="574">
        <f t="shared" si="44"/>
        <v>0</v>
      </c>
      <c r="CV24" s="598"/>
      <c r="CW24" s="431"/>
      <c r="CX24" s="431"/>
      <c r="CY24" s="431"/>
    </row>
    <row r="25" spans="1:103" s="13" customFormat="1">
      <c r="A25" s="111"/>
      <c r="B25" s="107" t="s">
        <v>106</v>
      </c>
      <c r="C25" s="103"/>
      <c r="D25" s="104"/>
      <c r="E25" s="104"/>
      <c r="F25" s="371"/>
      <c r="G25" s="371"/>
      <c r="H25" s="371"/>
      <c r="I25" s="250" t="e">
        <f>-I63</f>
        <v>#DIV/0!</v>
      </c>
      <c r="J25" s="250" t="e">
        <f t="shared" ref="J25:P25" si="45">-J63</f>
        <v>#DIV/0!</v>
      </c>
      <c r="K25" s="367" t="e">
        <f t="shared" si="32"/>
        <v>#DIV/0!</v>
      </c>
      <c r="L25" s="250" t="e">
        <f t="shared" si="45"/>
        <v>#DIV/0!</v>
      </c>
      <c r="M25" s="250" t="e">
        <f t="shared" si="45"/>
        <v>#DIV/0!</v>
      </c>
      <c r="N25" s="367" t="e">
        <f t="shared" si="15"/>
        <v>#DIV/0!</v>
      </c>
      <c r="O25" s="250" t="e">
        <f t="shared" si="45"/>
        <v>#DIV/0!</v>
      </c>
      <c r="P25" s="250" t="e">
        <f t="shared" si="45"/>
        <v>#DIV/0!</v>
      </c>
      <c r="Q25" s="250" t="e">
        <f>-Q63</f>
        <v>#DIV/0!</v>
      </c>
      <c r="R25" s="248" t="e">
        <f>K25+N25+O25+P25+Q25</f>
        <v>#DIV/0!</v>
      </c>
      <c r="S25" s="250" t="e">
        <f t="shared" ref="S25:BE25" si="46">-S63</f>
        <v>#DIV/0!</v>
      </c>
      <c r="T25" s="250" t="e">
        <f t="shared" si="46"/>
        <v>#DIV/0!</v>
      </c>
      <c r="U25" s="250" t="e">
        <f t="shared" si="46"/>
        <v>#DIV/0!</v>
      </c>
      <c r="V25" s="250" t="e">
        <f t="shared" si="46"/>
        <v>#DIV/0!</v>
      </c>
      <c r="W25" s="250" t="e">
        <f t="shared" si="46"/>
        <v>#DIV/0!</v>
      </c>
      <c r="X25" s="250" t="e">
        <f t="shared" si="46"/>
        <v>#DIV/0!</v>
      </c>
      <c r="Y25" s="250" t="e">
        <f t="shared" si="46"/>
        <v>#DIV/0!</v>
      </c>
      <c r="Z25" s="250" t="e">
        <f t="shared" si="46"/>
        <v>#DIV/0!</v>
      </c>
      <c r="AA25" s="250" t="e">
        <f t="shared" si="46"/>
        <v>#DIV/0!</v>
      </c>
      <c r="AB25" s="250" t="e">
        <f t="shared" si="46"/>
        <v>#DIV/0!</v>
      </c>
      <c r="AC25" s="250" t="e">
        <f t="shared" si="46"/>
        <v>#DIV/0!</v>
      </c>
      <c r="AD25" s="250" t="e">
        <f t="shared" si="46"/>
        <v>#DIV/0!</v>
      </c>
      <c r="AE25" s="250" t="e">
        <f t="shared" si="46"/>
        <v>#DIV/0!</v>
      </c>
      <c r="AF25" s="250" t="e">
        <f t="shared" si="46"/>
        <v>#DIV/0!</v>
      </c>
      <c r="AG25" s="250" t="e">
        <f t="shared" si="46"/>
        <v>#DIV/0!</v>
      </c>
      <c r="AH25" s="250" t="e">
        <f t="shared" si="46"/>
        <v>#DIV/0!</v>
      </c>
      <c r="AI25" s="250" t="e">
        <f t="shared" si="46"/>
        <v>#DIV/0!</v>
      </c>
      <c r="AJ25" s="250" t="e">
        <f t="shared" si="46"/>
        <v>#DIV/0!</v>
      </c>
      <c r="AK25" s="250" t="e">
        <f t="shared" si="46"/>
        <v>#DIV/0!</v>
      </c>
      <c r="AL25" s="250" t="e">
        <f t="shared" si="46"/>
        <v>#DIV/0!</v>
      </c>
      <c r="AM25" s="250" t="e">
        <f t="shared" si="46"/>
        <v>#DIV/0!</v>
      </c>
      <c r="AN25" s="250" t="e">
        <f t="shared" si="46"/>
        <v>#DIV/0!</v>
      </c>
      <c r="AO25" s="250" t="e">
        <f t="shared" si="46"/>
        <v>#DIV/0!</v>
      </c>
      <c r="AP25" s="250" t="e">
        <f t="shared" si="46"/>
        <v>#DIV/0!</v>
      </c>
      <c r="AQ25" s="367" t="e">
        <f t="shared" ref="AQ25:AT25" si="47">-AQ63</f>
        <v>#DIV/0!</v>
      </c>
      <c r="AR25" s="367" t="e">
        <f t="shared" si="47"/>
        <v>#DIV/0!</v>
      </c>
      <c r="AS25" s="367" t="e">
        <f t="shared" si="47"/>
        <v>#DIV/0!</v>
      </c>
      <c r="AT25" s="367" t="e">
        <f t="shared" si="47"/>
        <v>#DIV/0!</v>
      </c>
      <c r="AU25" s="367" t="e">
        <f t="shared" ref="AU25:AX25" si="48">-AU63</f>
        <v>#DIV/0!</v>
      </c>
      <c r="AV25" s="367" t="e">
        <f t="shared" si="48"/>
        <v>#DIV/0!</v>
      </c>
      <c r="AW25" s="367" t="e">
        <f t="shared" si="48"/>
        <v>#DIV/0!</v>
      </c>
      <c r="AX25" s="367" t="e">
        <f t="shared" si="48"/>
        <v>#DIV/0!</v>
      </c>
      <c r="AY25" s="367" t="e">
        <f t="shared" ref="AY25:BB25" si="49">-AY63</f>
        <v>#DIV/0!</v>
      </c>
      <c r="AZ25" s="367" t="e">
        <f t="shared" si="49"/>
        <v>#DIV/0!</v>
      </c>
      <c r="BA25" s="367" t="e">
        <f t="shared" si="49"/>
        <v>#DIV/0!</v>
      </c>
      <c r="BB25" s="367" t="e">
        <f t="shared" si="49"/>
        <v>#DIV/0!</v>
      </c>
      <c r="BC25" s="367" t="e">
        <f t="shared" si="46"/>
        <v>#DIV/0!</v>
      </c>
      <c r="BD25" s="250" t="e">
        <f t="shared" si="46"/>
        <v>#DIV/0!</v>
      </c>
      <c r="BE25" s="250" t="e">
        <f t="shared" si="46"/>
        <v>#DIV/0!</v>
      </c>
      <c r="BF25" s="369" t="e">
        <f>SUM(S25:BE25)</f>
        <v>#DIV/0!</v>
      </c>
      <c r="BG25" s="250" t="e">
        <f t="shared" ref="BG25:BR25" si="50">-BG63</f>
        <v>#DIV/0!</v>
      </c>
      <c r="BH25" s="250" t="e">
        <f t="shared" si="50"/>
        <v>#DIV/0!</v>
      </c>
      <c r="BI25" s="250" t="e">
        <f t="shared" si="50"/>
        <v>#DIV/0!</v>
      </c>
      <c r="BJ25" s="250" t="e">
        <f t="shared" si="50"/>
        <v>#DIV/0!</v>
      </c>
      <c r="BK25" s="250" t="e">
        <f t="shared" si="50"/>
        <v>#DIV/0!</v>
      </c>
      <c r="BL25" s="250" t="e">
        <f t="shared" si="50"/>
        <v>#DIV/0!</v>
      </c>
      <c r="BM25" s="250" t="e">
        <f t="shared" si="50"/>
        <v>#DIV/0!</v>
      </c>
      <c r="BN25" s="250" t="e">
        <f t="shared" si="50"/>
        <v>#DIV/0!</v>
      </c>
      <c r="BO25" s="250" t="e">
        <f t="shared" si="50"/>
        <v>#DIV/0!</v>
      </c>
      <c r="BP25" s="250" t="e">
        <f t="shared" si="50"/>
        <v>#DIV/0!</v>
      </c>
      <c r="BQ25" s="250" t="e">
        <f t="shared" si="50"/>
        <v>#DIV/0!</v>
      </c>
      <c r="BR25" s="250" t="e">
        <f t="shared" si="50"/>
        <v>#DIV/0!</v>
      </c>
      <c r="BS25" s="368" t="e">
        <f t="shared" si="4"/>
        <v>#DIV/0!</v>
      </c>
      <c r="BT25" s="250" t="e">
        <f>-BT63</f>
        <v>#DIV/0!</v>
      </c>
      <c r="BU25" s="250" t="e">
        <f>-BU63</f>
        <v>#DIV/0!</v>
      </c>
      <c r="BV25" s="250" t="e">
        <f>-BV63</f>
        <v>#DIV/0!</v>
      </c>
      <c r="BW25" s="373" t="e">
        <f>R25+BF25+BS25+BT25+BU25+BV25</f>
        <v>#DIV/0!</v>
      </c>
      <c r="BX25" s="250" t="e">
        <f t="shared" ref="BX25:CD25" si="51">-BX63</f>
        <v>#DIV/0!</v>
      </c>
      <c r="BY25" s="250" t="e">
        <f t="shared" si="51"/>
        <v>#DIV/0!</v>
      </c>
      <c r="BZ25" s="250" t="e">
        <f t="shared" si="51"/>
        <v>#DIV/0!</v>
      </c>
      <c r="CA25" s="250" t="e">
        <f t="shared" si="51"/>
        <v>#DIV/0!</v>
      </c>
      <c r="CB25" s="250" t="e">
        <f t="shared" si="51"/>
        <v>#DIV/0!</v>
      </c>
      <c r="CC25" s="250" t="e">
        <f t="shared" si="51"/>
        <v>#DIV/0!</v>
      </c>
      <c r="CD25" s="250" t="e">
        <f t="shared" si="51"/>
        <v>#DIV/0!</v>
      </c>
      <c r="CE25" s="248" t="e">
        <f>SUM(BX25:CD25)</f>
        <v>#DIV/0!</v>
      </c>
      <c r="CF25" s="372"/>
      <c r="CG25" s="373"/>
      <c r="CH25" s="250" t="e">
        <f>-CH63</f>
        <v>#DIV/0!</v>
      </c>
      <c r="CI25" s="368" t="e">
        <f>F25+BW25+CE25+CF25+CG25+CH25</f>
        <v>#DIV/0!</v>
      </c>
      <c r="CJ25" s="249" t="e">
        <f>+CI25+E63</f>
        <v>#DIV/0!</v>
      </c>
      <c r="CK25" s="250"/>
      <c r="CL25" s="250"/>
      <c r="CM25" s="250"/>
      <c r="CN25" s="250"/>
      <c r="CO25" s="250"/>
      <c r="CP25" s="250"/>
      <c r="CQ25" s="250"/>
      <c r="CR25" s="251"/>
      <c r="CS25" s="251"/>
      <c r="CT25" s="251"/>
      <c r="CU25" s="251"/>
      <c r="CV25" s="594"/>
      <c r="CW25" s="579"/>
      <c r="CX25" s="579"/>
      <c r="CY25" s="579"/>
    </row>
    <row r="26" spans="1:103" s="13" customFormat="1">
      <c r="A26" s="111"/>
      <c r="B26" s="107" t="s">
        <v>107</v>
      </c>
      <c r="C26" s="103">
        <f>+Zusatzinfos!C74</f>
        <v>0</v>
      </c>
      <c r="D26" s="104"/>
      <c r="E26" s="104" t="e">
        <f>-C26/CI19*(CI19-(SUM(G19:H19)))</f>
        <v>#DIV/0!</v>
      </c>
      <c r="F26" s="371"/>
      <c r="G26" s="371"/>
      <c r="H26" s="371"/>
      <c r="I26" s="250" t="e">
        <f>+$E$26/($CI$19-$F$19-$CF$19-$CG$19)*I19</f>
        <v>#DIV/0!</v>
      </c>
      <c r="J26" s="250" t="e">
        <f>+$E$26/($CI$19-$F$19-$CF$19-$CG$19)*J19</f>
        <v>#DIV/0!</v>
      </c>
      <c r="K26" s="367" t="e">
        <f t="shared" si="32"/>
        <v>#DIV/0!</v>
      </c>
      <c r="L26" s="250" t="e">
        <f>+$E$26/($CI$19-$F$19-$CF$19-$CG$19)*L19</f>
        <v>#DIV/0!</v>
      </c>
      <c r="M26" s="250" t="e">
        <f>+$E$26/($CI$19-$F$19-$CF$19-$CG$19)*M19</f>
        <v>#DIV/0!</v>
      </c>
      <c r="N26" s="367" t="e">
        <f t="shared" si="15"/>
        <v>#DIV/0!</v>
      </c>
      <c r="O26" s="250" t="e">
        <f>+$E$26/($CI$19-$F$19-$CF$19-$CG$19)*O19</f>
        <v>#DIV/0!</v>
      </c>
      <c r="P26" s="250" t="e">
        <f>+$E$26/($CI$19-$F$19-$CF$19-$CG$19)*P19</f>
        <v>#DIV/0!</v>
      </c>
      <c r="Q26" s="250" t="e">
        <f>+$E$26/($CI$19-$F$19-$CF$19-$CG$19)*Q19</f>
        <v>#DIV/0!</v>
      </c>
      <c r="R26" s="248" t="e">
        <f>K26+N26+O26+P26+Q26</f>
        <v>#DIV/0!</v>
      </c>
      <c r="S26" s="250" t="e">
        <f t="shared" ref="S26:AP26" si="52">+$E$26/($CI$19-$F$19-$CF$19-$CG$19)*S19</f>
        <v>#DIV/0!</v>
      </c>
      <c r="T26" s="250" t="e">
        <f t="shared" si="52"/>
        <v>#DIV/0!</v>
      </c>
      <c r="U26" s="250" t="e">
        <f t="shared" si="52"/>
        <v>#DIV/0!</v>
      </c>
      <c r="V26" s="250" t="e">
        <f t="shared" si="52"/>
        <v>#DIV/0!</v>
      </c>
      <c r="W26" s="250" t="e">
        <f t="shared" si="52"/>
        <v>#DIV/0!</v>
      </c>
      <c r="X26" s="250" t="e">
        <f t="shared" si="52"/>
        <v>#DIV/0!</v>
      </c>
      <c r="Y26" s="250" t="e">
        <f t="shared" si="52"/>
        <v>#DIV/0!</v>
      </c>
      <c r="Z26" s="250" t="e">
        <f t="shared" si="52"/>
        <v>#DIV/0!</v>
      </c>
      <c r="AA26" s="250" t="e">
        <f t="shared" si="52"/>
        <v>#DIV/0!</v>
      </c>
      <c r="AB26" s="250" t="e">
        <f t="shared" si="52"/>
        <v>#DIV/0!</v>
      </c>
      <c r="AC26" s="250" t="e">
        <f t="shared" si="52"/>
        <v>#DIV/0!</v>
      </c>
      <c r="AD26" s="250" t="e">
        <f t="shared" si="52"/>
        <v>#DIV/0!</v>
      </c>
      <c r="AE26" s="250" t="e">
        <f t="shared" si="52"/>
        <v>#DIV/0!</v>
      </c>
      <c r="AF26" s="250" t="e">
        <f t="shared" si="52"/>
        <v>#DIV/0!</v>
      </c>
      <c r="AG26" s="250" t="e">
        <f t="shared" si="52"/>
        <v>#DIV/0!</v>
      </c>
      <c r="AH26" s="250" t="e">
        <f t="shared" si="52"/>
        <v>#DIV/0!</v>
      </c>
      <c r="AI26" s="250" t="e">
        <f t="shared" si="52"/>
        <v>#DIV/0!</v>
      </c>
      <c r="AJ26" s="250" t="e">
        <f t="shared" si="52"/>
        <v>#DIV/0!</v>
      </c>
      <c r="AK26" s="250" t="e">
        <f t="shared" si="52"/>
        <v>#DIV/0!</v>
      </c>
      <c r="AL26" s="250" t="e">
        <f t="shared" si="52"/>
        <v>#DIV/0!</v>
      </c>
      <c r="AM26" s="250" t="e">
        <f t="shared" si="52"/>
        <v>#DIV/0!</v>
      </c>
      <c r="AN26" s="250" t="e">
        <f t="shared" si="52"/>
        <v>#DIV/0!</v>
      </c>
      <c r="AO26" s="250" t="e">
        <f t="shared" si="52"/>
        <v>#DIV/0!</v>
      </c>
      <c r="AP26" s="250" t="e">
        <f t="shared" si="52"/>
        <v>#DIV/0!</v>
      </c>
      <c r="AQ26" s="367" t="e">
        <f t="shared" ref="AQ26:AT26" si="53">+$E$26/($CI$19-$F$19-$CF$19-$CG$19)*AQ19</f>
        <v>#DIV/0!</v>
      </c>
      <c r="AR26" s="367" t="e">
        <f t="shared" si="53"/>
        <v>#DIV/0!</v>
      </c>
      <c r="AS26" s="367" t="e">
        <f t="shared" si="53"/>
        <v>#DIV/0!</v>
      </c>
      <c r="AT26" s="367" t="e">
        <f t="shared" si="53"/>
        <v>#DIV/0!</v>
      </c>
      <c r="AU26" s="367" t="e">
        <f t="shared" ref="AU26:BE26" si="54">+$E$26/($CI$19-$F$19-$CF$19-$CG$19)*AU19</f>
        <v>#DIV/0!</v>
      </c>
      <c r="AV26" s="367" t="e">
        <f t="shared" si="54"/>
        <v>#DIV/0!</v>
      </c>
      <c r="AW26" s="367" t="e">
        <f t="shared" si="54"/>
        <v>#DIV/0!</v>
      </c>
      <c r="AX26" s="367" t="e">
        <f t="shared" si="54"/>
        <v>#DIV/0!</v>
      </c>
      <c r="AY26" s="367" t="e">
        <f t="shared" si="54"/>
        <v>#DIV/0!</v>
      </c>
      <c r="AZ26" s="367" t="e">
        <f t="shared" si="54"/>
        <v>#DIV/0!</v>
      </c>
      <c r="BA26" s="367" t="e">
        <f t="shared" si="54"/>
        <v>#DIV/0!</v>
      </c>
      <c r="BB26" s="367" t="e">
        <f t="shared" si="54"/>
        <v>#DIV/0!</v>
      </c>
      <c r="BC26" s="367" t="e">
        <f t="shared" si="54"/>
        <v>#DIV/0!</v>
      </c>
      <c r="BD26" s="250" t="e">
        <f t="shared" si="54"/>
        <v>#DIV/0!</v>
      </c>
      <c r="BE26" s="250" t="e">
        <f t="shared" si="54"/>
        <v>#DIV/0!</v>
      </c>
      <c r="BF26" s="367" t="e">
        <f>SUM(S26:BE26)</f>
        <v>#DIV/0!</v>
      </c>
      <c r="BG26" s="250" t="e">
        <f t="shared" ref="BG26:BR26" si="55">+$E$26/($CI$19-$F$19-$CF$19-$CG$19)*BG19</f>
        <v>#DIV/0!</v>
      </c>
      <c r="BH26" s="250" t="e">
        <f t="shared" si="55"/>
        <v>#DIV/0!</v>
      </c>
      <c r="BI26" s="250" t="e">
        <f t="shared" si="55"/>
        <v>#DIV/0!</v>
      </c>
      <c r="BJ26" s="250" t="e">
        <f t="shared" si="55"/>
        <v>#DIV/0!</v>
      </c>
      <c r="BK26" s="250" t="e">
        <f t="shared" si="55"/>
        <v>#DIV/0!</v>
      </c>
      <c r="BL26" s="250" t="e">
        <f t="shared" si="55"/>
        <v>#DIV/0!</v>
      </c>
      <c r="BM26" s="250" t="e">
        <f t="shared" si="55"/>
        <v>#DIV/0!</v>
      </c>
      <c r="BN26" s="250" t="e">
        <f t="shared" si="55"/>
        <v>#DIV/0!</v>
      </c>
      <c r="BO26" s="250" t="e">
        <f t="shared" si="55"/>
        <v>#DIV/0!</v>
      </c>
      <c r="BP26" s="250" t="e">
        <f t="shared" si="55"/>
        <v>#DIV/0!</v>
      </c>
      <c r="BQ26" s="250" t="e">
        <f t="shared" si="55"/>
        <v>#DIV/0!</v>
      </c>
      <c r="BR26" s="250" t="e">
        <f t="shared" si="55"/>
        <v>#DIV/0!</v>
      </c>
      <c r="BS26" s="368" t="e">
        <f t="shared" si="4"/>
        <v>#DIV/0!</v>
      </c>
      <c r="BT26" s="250" t="e">
        <f>+$E$26/($CI$19-$F$19-$CF$19-$CG$19)*BT19</f>
        <v>#DIV/0!</v>
      </c>
      <c r="BU26" s="250" t="e">
        <f>+$E$26/($CI$19-$F$19-$CF$19-$CG$19)*BU19</f>
        <v>#DIV/0!</v>
      </c>
      <c r="BV26" s="250" t="e">
        <f>+$E$26/($CI$19-$F$19-$CF$19-$CG$19)*BV19</f>
        <v>#DIV/0!</v>
      </c>
      <c r="BW26" s="373" t="e">
        <f>R26+BF26+BS26+BT26+BU26+BV26</f>
        <v>#DIV/0!</v>
      </c>
      <c r="BX26" s="250" t="e">
        <f t="shared" ref="BX26:CD26" si="56">+$E$26/($CI$19-$F$19-$CF$19-$CG$19)*BX19</f>
        <v>#DIV/0!</v>
      </c>
      <c r="BY26" s="250" t="e">
        <f t="shared" si="56"/>
        <v>#DIV/0!</v>
      </c>
      <c r="BZ26" s="250" t="e">
        <f t="shared" si="56"/>
        <v>#DIV/0!</v>
      </c>
      <c r="CA26" s="250" t="e">
        <f t="shared" si="56"/>
        <v>#DIV/0!</v>
      </c>
      <c r="CB26" s="250" t="e">
        <f t="shared" si="56"/>
        <v>#DIV/0!</v>
      </c>
      <c r="CC26" s="250" t="e">
        <f t="shared" si="56"/>
        <v>#DIV/0!</v>
      </c>
      <c r="CD26" s="250" t="e">
        <f t="shared" si="56"/>
        <v>#DIV/0!</v>
      </c>
      <c r="CE26" s="248" t="e">
        <f>SUM(BX26:CD26)</f>
        <v>#DIV/0!</v>
      </c>
      <c r="CF26" s="372"/>
      <c r="CG26" s="373"/>
      <c r="CH26" s="250" t="e">
        <f>+$E$26/($CI$19-$F$19-$CF$19-$CG$19)*CH19</f>
        <v>#DIV/0!</v>
      </c>
      <c r="CI26" s="368" t="e">
        <f>F26+BW26+CE26+CF26+CG26+CH26</f>
        <v>#DIV/0!</v>
      </c>
      <c r="CJ26" s="249" t="e">
        <f>+CI26-E26</f>
        <v>#DIV/0!</v>
      </c>
      <c r="CK26" s="250"/>
      <c r="CL26" s="250"/>
      <c r="CM26" s="250"/>
      <c r="CN26" s="250"/>
      <c r="CO26" s="250"/>
      <c r="CP26" s="250"/>
      <c r="CQ26" s="250"/>
      <c r="CR26" s="251"/>
      <c r="CS26" s="251"/>
      <c r="CT26" s="251"/>
      <c r="CU26" s="251"/>
      <c r="CV26" s="594"/>
      <c r="CW26" s="579"/>
      <c r="CX26" s="579"/>
      <c r="CY26" s="579"/>
    </row>
    <row r="27" spans="1:103" s="2" customFormat="1">
      <c r="A27" s="116"/>
      <c r="B27" s="106" t="s">
        <v>82</v>
      </c>
      <c r="C27" s="3"/>
      <c r="D27" s="4"/>
      <c r="E27" s="4"/>
      <c r="F27" s="365">
        <f t="shared" ref="F27:O27" si="57">SUM(F24:F26)</f>
        <v>0</v>
      </c>
      <c r="G27" s="378">
        <f t="shared" si="57"/>
        <v>0</v>
      </c>
      <c r="H27" s="365">
        <f t="shared" si="57"/>
        <v>0</v>
      </c>
      <c r="I27" s="365" t="e">
        <f>SUM(I24:I26)</f>
        <v>#DIV/0!</v>
      </c>
      <c r="J27" s="365" t="e">
        <f t="shared" si="57"/>
        <v>#DIV/0!</v>
      </c>
      <c r="K27" s="378" t="e">
        <f>SUM(I27+J27)</f>
        <v>#DIV/0!</v>
      </c>
      <c r="L27" s="365" t="e">
        <f t="shared" si="57"/>
        <v>#DIV/0!</v>
      </c>
      <c r="M27" s="365" t="e">
        <f t="shared" si="57"/>
        <v>#DIV/0!</v>
      </c>
      <c r="N27" s="378" t="e">
        <f t="shared" si="15"/>
        <v>#DIV/0!</v>
      </c>
      <c r="O27" s="365" t="e">
        <f t="shared" si="57"/>
        <v>#DIV/0!</v>
      </c>
      <c r="P27" s="365" t="e">
        <f>SUM(P24:P26)</f>
        <v>#DIV/0!</v>
      </c>
      <c r="Q27" s="365" t="e">
        <f>SUM(Q24:Q26)</f>
        <v>#DIV/0!</v>
      </c>
      <c r="R27" s="365" t="e">
        <f t="shared" ref="R27:AP27" si="58">SUM(R24:R26)</f>
        <v>#DIV/0!</v>
      </c>
      <c r="S27" s="365" t="e">
        <f t="shared" si="58"/>
        <v>#DIV/0!</v>
      </c>
      <c r="T27" s="365" t="e">
        <f t="shared" si="58"/>
        <v>#DIV/0!</v>
      </c>
      <c r="U27" s="365" t="e">
        <f t="shared" si="58"/>
        <v>#DIV/0!</v>
      </c>
      <c r="V27" s="365" t="e">
        <f t="shared" si="58"/>
        <v>#DIV/0!</v>
      </c>
      <c r="W27" s="365" t="e">
        <f t="shared" si="58"/>
        <v>#DIV/0!</v>
      </c>
      <c r="X27" s="365" t="e">
        <f t="shared" si="58"/>
        <v>#DIV/0!</v>
      </c>
      <c r="Y27" s="365" t="e">
        <f t="shared" si="58"/>
        <v>#DIV/0!</v>
      </c>
      <c r="Z27" s="365" t="e">
        <f t="shared" si="58"/>
        <v>#DIV/0!</v>
      </c>
      <c r="AA27" s="365" t="e">
        <f t="shared" si="58"/>
        <v>#DIV/0!</v>
      </c>
      <c r="AB27" s="365" t="e">
        <f t="shared" si="58"/>
        <v>#DIV/0!</v>
      </c>
      <c r="AC27" s="365" t="e">
        <f t="shared" si="58"/>
        <v>#DIV/0!</v>
      </c>
      <c r="AD27" s="365" t="e">
        <f t="shared" si="58"/>
        <v>#DIV/0!</v>
      </c>
      <c r="AE27" s="365" t="e">
        <f t="shared" si="58"/>
        <v>#DIV/0!</v>
      </c>
      <c r="AF27" s="365" t="e">
        <f t="shared" si="58"/>
        <v>#DIV/0!</v>
      </c>
      <c r="AG27" s="365" t="e">
        <f t="shared" si="58"/>
        <v>#DIV/0!</v>
      </c>
      <c r="AH27" s="365" t="e">
        <f t="shared" si="58"/>
        <v>#DIV/0!</v>
      </c>
      <c r="AI27" s="365" t="e">
        <f t="shared" si="58"/>
        <v>#DIV/0!</v>
      </c>
      <c r="AJ27" s="365" t="e">
        <f t="shared" si="58"/>
        <v>#DIV/0!</v>
      </c>
      <c r="AK27" s="365" t="e">
        <f t="shared" si="58"/>
        <v>#DIV/0!</v>
      </c>
      <c r="AL27" s="365" t="e">
        <f t="shared" si="58"/>
        <v>#DIV/0!</v>
      </c>
      <c r="AM27" s="365" t="e">
        <f t="shared" si="58"/>
        <v>#DIV/0!</v>
      </c>
      <c r="AN27" s="365" t="e">
        <f t="shared" si="58"/>
        <v>#DIV/0!</v>
      </c>
      <c r="AO27" s="365" t="e">
        <f t="shared" si="58"/>
        <v>#DIV/0!</v>
      </c>
      <c r="AP27" s="365" t="e">
        <f t="shared" si="58"/>
        <v>#DIV/0!</v>
      </c>
      <c r="AQ27" s="378" t="e">
        <f t="shared" ref="AQ27:AT27" si="59">SUM(AQ24:AQ26)</f>
        <v>#DIV/0!</v>
      </c>
      <c r="AR27" s="378" t="e">
        <f t="shared" si="59"/>
        <v>#DIV/0!</v>
      </c>
      <c r="AS27" s="378" t="e">
        <f t="shared" si="59"/>
        <v>#DIV/0!</v>
      </c>
      <c r="AT27" s="378" t="e">
        <f t="shared" si="59"/>
        <v>#DIV/0!</v>
      </c>
      <c r="AU27" s="378" t="e">
        <f t="shared" ref="AU27:AX27" si="60">SUM(AU24:AU26)</f>
        <v>#DIV/0!</v>
      </c>
      <c r="AV27" s="378" t="e">
        <f t="shared" si="60"/>
        <v>#DIV/0!</v>
      </c>
      <c r="AW27" s="378" t="e">
        <f t="shared" si="60"/>
        <v>#DIV/0!</v>
      </c>
      <c r="AX27" s="378" t="e">
        <f t="shared" si="60"/>
        <v>#DIV/0!</v>
      </c>
      <c r="AY27" s="378" t="e">
        <f t="shared" ref="AY27:BB27" si="61">SUM(AY24:AY26)</f>
        <v>#DIV/0!</v>
      </c>
      <c r="AZ27" s="378" t="e">
        <f t="shared" si="61"/>
        <v>#DIV/0!</v>
      </c>
      <c r="BA27" s="378" t="e">
        <f t="shared" si="61"/>
        <v>#DIV/0!</v>
      </c>
      <c r="BB27" s="378" t="e">
        <f t="shared" si="61"/>
        <v>#DIV/0!</v>
      </c>
      <c r="BC27" s="378" t="e">
        <f>SUM(BC24:BC26)</f>
        <v>#DIV/0!</v>
      </c>
      <c r="BD27" s="365" t="e">
        <f t="shared" ref="BD27:BK27" si="62">SUM(BD24:BD26)</f>
        <v>#DIV/0!</v>
      </c>
      <c r="BE27" s="365" t="e">
        <f t="shared" si="62"/>
        <v>#DIV/0!</v>
      </c>
      <c r="BF27" s="365" t="e">
        <f t="shared" si="62"/>
        <v>#DIV/0!</v>
      </c>
      <c r="BG27" s="365" t="e">
        <f t="shared" si="62"/>
        <v>#DIV/0!</v>
      </c>
      <c r="BH27" s="365" t="e">
        <f t="shared" si="62"/>
        <v>#DIV/0!</v>
      </c>
      <c r="BI27" s="365" t="e">
        <f t="shared" si="62"/>
        <v>#DIV/0!</v>
      </c>
      <c r="BJ27" s="365" t="e">
        <f t="shared" si="62"/>
        <v>#DIV/0!</v>
      </c>
      <c r="BK27" s="365" t="e">
        <f t="shared" si="62"/>
        <v>#DIV/0!</v>
      </c>
      <c r="BL27" s="365" t="e">
        <f t="shared" ref="BL27:CG27" si="63">SUM(BL24:BL26)</f>
        <v>#DIV/0!</v>
      </c>
      <c r="BM27" s="365" t="e">
        <f t="shared" si="63"/>
        <v>#DIV/0!</v>
      </c>
      <c r="BN27" s="365" t="e">
        <f t="shared" si="63"/>
        <v>#DIV/0!</v>
      </c>
      <c r="BO27" s="365" t="e">
        <f t="shared" si="63"/>
        <v>#DIV/0!</v>
      </c>
      <c r="BP27" s="365" t="e">
        <f t="shared" si="63"/>
        <v>#DIV/0!</v>
      </c>
      <c r="BQ27" s="365" t="e">
        <f t="shared" si="63"/>
        <v>#DIV/0!</v>
      </c>
      <c r="BR27" s="365" t="e">
        <f t="shared" si="63"/>
        <v>#DIV/0!</v>
      </c>
      <c r="BS27" s="365" t="e">
        <f t="shared" si="63"/>
        <v>#DIV/0!</v>
      </c>
      <c r="BT27" s="365" t="e">
        <f t="shared" si="63"/>
        <v>#DIV/0!</v>
      </c>
      <c r="BU27" s="365" t="e">
        <f t="shared" si="63"/>
        <v>#DIV/0!</v>
      </c>
      <c r="BV27" s="365" t="e">
        <f t="shared" si="63"/>
        <v>#DIV/0!</v>
      </c>
      <c r="BW27" s="378" t="e">
        <f t="shared" ref="BW27:CE27" si="64">SUM(BW24:BW26)</f>
        <v>#DIV/0!</v>
      </c>
      <c r="BX27" s="365" t="e">
        <f t="shared" si="64"/>
        <v>#DIV/0!</v>
      </c>
      <c r="BY27" s="365" t="e">
        <f t="shared" si="64"/>
        <v>#DIV/0!</v>
      </c>
      <c r="BZ27" s="365" t="e">
        <f t="shared" si="64"/>
        <v>#DIV/0!</v>
      </c>
      <c r="CA27" s="365" t="e">
        <f t="shared" si="64"/>
        <v>#DIV/0!</v>
      </c>
      <c r="CB27" s="365" t="e">
        <f t="shared" si="64"/>
        <v>#DIV/0!</v>
      </c>
      <c r="CC27" s="365" t="e">
        <f t="shared" si="64"/>
        <v>#DIV/0!</v>
      </c>
      <c r="CD27" s="365" t="e">
        <f t="shared" si="64"/>
        <v>#DIV/0!</v>
      </c>
      <c r="CE27" s="365" t="e">
        <f t="shared" si="64"/>
        <v>#DIV/0!</v>
      </c>
      <c r="CF27" s="365" t="e">
        <f t="shared" si="63"/>
        <v>#DIV/0!</v>
      </c>
      <c r="CG27" s="365" t="e">
        <f t="shared" si="63"/>
        <v>#DIV/0!</v>
      </c>
      <c r="CH27" s="365" t="e">
        <f>SUM(CH24:CH26)</f>
        <v>#DIV/0!</v>
      </c>
      <c r="CI27" s="365" t="e">
        <f>SUM(CI24:CI26)</f>
        <v>#DIV/0!</v>
      </c>
      <c r="CJ27" s="362" t="e">
        <f t="shared" ref="CJ27:CU27" si="65">SUM(CJ24:CJ26)</f>
        <v>#DIV/0!</v>
      </c>
      <c r="CK27" s="362">
        <f t="shared" si="65"/>
        <v>0</v>
      </c>
      <c r="CL27" s="362">
        <f t="shared" si="65"/>
        <v>0</v>
      </c>
      <c r="CM27" s="362">
        <f t="shared" si="65"/>
        <v>0</v>
      </c>
      <c r="CN27" s="362">
        <f t="shared" si="65"/>
        <v>0</v>
      </c>
      <c r="CO27" s="362">
        <f t="shared" si="65"/>
        <v>0</v>
      </c>
      <c r="CP27" s="362">
        <f t="shared" si="65"/>
        <v>0</v>
      </c>
      <c r="CQ27" s="362">
        <f t="shared" si="65"/>
        <v>0</v>
      </c>
      <c r="CR27" s="570">
        <f t="shared" si="65"/>
        <v>0</v>
      </c>
      <c r="CS27" s="570">
        <f t="shared" si="65"/>
        <v>0</v>
      </c>
      <c r="CT27" s="570">
        <f t="shared" si="65"/>
        <v>0</v>
      </c>
      <c r="CU27" s="570">
        <f t="shared" si="65"/>
        <v>0</v>
      </c>
      <c r="CV27" s="594"/>
      <c r="CW27" s="599"/>
      <c r="CX27" s="599"/>
      <c r="CY27" s="599"/>
    </row>
    <row r="28" spans="1:103" s="23" customFormat="1">
      <c r="A28" s="109"/>
      <c r="B28" s="273" t="s">
        <v>163</v>
      </c>
      <c r="C28" s="355"/>
      <c r="D28" s="356"/>
      <c r="E28" s="356"/>
      <c r="F28" s="252"/>
      <c r="G28" s="369"/>
      <c r="H28" s="252"/>
      <c r="I28" s="252"/>
      <c r="J28" s="252">
        <f>IF(J67=0,0,+J27*-J67-Zusatzinfos!$C$37/($J$27+$M$27+$Q$27+$T$27+$V$27+$X$27+$Z$27+$AB$27+$AD$27+$AF$27+$AH$27+$AJ$27+$AL$27+$AN$27+$AP$27+$AV$27+$AX$27+$AZ$27+$BB$27+$BE$27+$BH$27+$BJ$27+$BM$27+$BO$27+$BR$27)*'ITAR_K Gesamtansicht'!J27)</f>
        <v>0</v>
      </c>
      <c r="K28" s="369">
        <f>SUM(I28+J28)</f>
        <v>0</v>
      </c>
      <c r="L28" s="252"/>
      <c r="M28" s="252">
        <f>IF(M67=0,0,+M27*-M67-Zusatzinfos!$C$37/($J$27+$M$27+$Q$27+$T$27+$V$27+$X$27+$Z$27+$AB$27+$AD$27+$AF$27+$AH$27+$AJ$27+$AL$27+$AN$27+$AP$27+$AV$27+$AX$27+$AZ$27+$BB$27+$BE$27+$BH$27+$BJ$27+$BM$27+$BO$27+$BR$27)*'ITAR_K Gesamtansicht'!M27)</f>
        <v>0</v>
      </c>
      <c r="N28" s="369">
        <f t="shared" si="15"/>
        <v>0</v>
      </c>
      <c r="O28" s="252"/>
      <c r="P28" s="252"/>
      <c r="Q28" s="252">
        <f>IF(Q67=0,0,+Q27*-Q67-Zusatzinfos!$C$37/($J$27+$M$27+$Q$27+$T$27+$V$27+$X$27+$Z$27+$AB$27+$AD$27+$AF$27+$AH$27+$AJ$27+$AL$27+$AN$27+$AP$27+$AV$27+$AX$27+$AZ$27+$BB$27+$BE$27+$BH$27+$BJ$27+$BM$27+$BO$27+$BR$27)*'ITAR_K Gesamtansicht'!Q27)</f>
        <v>0</v>
      </c>
      <c r="R28" s="248">
        <f t="shared" ref="R28:R34" si="66">K28+N28+O28+P28+Q28</f>
        <v>0</v>
      </c>
      <c r="S28" s="252"/>
      <c r="T28" s="252">
        <f>IF(T67=0,0,+T27*-T67-Zusatzinfos!$C$37/($J$27+$M$27+$Q$27+$T$27+$V$27+$X$27+$Z$27+$AB$27+$AD$27+$AF$27+$AH$27+$AJ$27+$AL$27+$AN$27+$AP$27+$AV$27+$AX$27+$AZ$27+$BB$27+$BE$27+$BH$27+$BJ$27+$BM$27+$BO$27+$BR$27)*'ITAR_K Gesamtansicht'!T27)</f>
        <v>0</v>
      </c>
      <c r="U28" s="369"/>
      <c r="V28" s="369">
        <f>IF(V67=0,0,+V27*-V67-Zusatzinfos!$C$37/($J$27+$M$27+$Q$27+$T$27+$V$27+$X$27+$Z$27+$AB$27+$AD$27+$AF$27+$AH$27+$AJ$27+$AL$27+$AN$27+$AP$27+$AV$27+$AX$27+$AZ$27+$BB$27+$BE$27+$BH$27+$BJ$27+$BM$27+$BO$27+$BR$27)*'ITAR_K Gesamtansicht'!V27)</f>
        <v>0</v>
      </c>
      <c r="W28" s="369"/>
      <c r="X28" s="369">
        <f>IF(X67=0,0,+X27*-X67-Zusatzinfos!$C$37/($J$27+$M$27+$Q$27+$T$27+$V$27+$X$27+$Z$27+$AB$27+$AD$27+$AF$27+$AH$27+$AJ$27+$AL$27+$AN$27+$AP$27+$AV$27+$AX$27+$AZ$27+$BB$27+$BE$27+$BH$27+$BJ$27+$BM$27+$BO$27+$BR$27)*'ITAR_K Gesamtansicht'!X27)</f>
        <v>0</v>
      </c>
      <c r="Y28" s="369"/>
      <c r="Z28" s="369">
        <f>IF(Z67=0,0,+Z27*-Z67-Zusatzinfos!$C$37/($J$27+$M$27+$Q$27+$T$27+$V$27+$X$27+$Z$27+$AB$27+$AD$27+$AF$27+$AH$27+$AJ$27+$AL$27+$AN$27+$AP$27+$AV$27+$AX$27+$AZ$27+$BB$27+$BE$27+$BH$27+$BJ$27+$BM$27+$BO$27+$BR$27)*'ITAR_K Gesamtansicht'!Z27)</f>
        <v>0</v>
      </c>
      <c r="AA28" s="369"/>
      <c r="AB28" s="369">
        <f>IF(AB67=0,0,+AB27*-AB67-Zusatzinfos!$C$37/($J$27+$M$27+$Q$27+$T$27+$V$27+$X$27+$Z$27+$AB$27+$AD$27+$AF$27+$AH$27+$AJ$27+$AL$27+$AN$27+$AP$27+$AV$27+$AX$27+$AZ$27+$BB$27+$BE$27+$BH$27+$BJ$27+$BM$27+$BO$27+$BR$27)*'ITAR_K Gesamtansicht'!AB27)</f>
        <v>0</v>
      </c>
      <c r="AC28" s="369"/>
      <c r="AD28" s="369">
        <f>IF(AD67=0,0,+AD27*-AD67-Zusatzinfos!$C$37/($J$27+$M$27+$Q$27+$T$27+$V$27+$X$27+$Z$27+$AB$27+$AD$27+$AF$27+$AH$27+$AJ$27+$AL$27+$AN$27+$AP$27+$AV$27+$AX$27+$AZ$27+$BB$27+$BE$27+$BH$27+$BJ$27+$BM$27+$BO$27+$BR$27)*'ITAR_K Gesamtansicht'!AD27)</f>
        <v>0</v>
      </c>
      <c r="AE28" s="369"/>
      <c r="AF28" s="369">
        <f>IF(AF67=0,0,+AF27*-AF67-Zusatzinfos!$C$37/($J$27+$M$27+$Q$27+$T$27+$V$27+$X$27+$Z$27+$AB$27+$AD$27+$AF$27+$AH$27+$AJ$27+$AL$27+$AN$27+$AP$27+$AV$27+$AX$27+$AZ$27+$BB$27+$BE$27+$BH$27+$BJ$27+$BM$27+$BO$27+$BR$27)*'ITAR_K Gesamtansicht'!AF27)</f>
        <v>0</v>
      </c>
      <c r="AG28" s="369"/>
      <c r="AH28" s="369">
        <f>IF(AH67=0,0,+AH27*-AH67-Zusatzinfos!$C$37/($J$27+$M$27+$Q$27+$T$27+$V$27+$X$27+$Z$27+$AB$27+$AD$27+$AF$27+$AH$27+$AJ$27+$AL$27+$AN$27+$AP$27+$AV$27+$AX$27+$AZ$27+$BB$27+$BE$27+$BH$27+$BJ$27+$BM$27+$BO$27+$BR$27)*'ITAR_K Gesamtansicht'!AH27)</f>
        <v>0</v>
      </c>
      <c r="AI28" s="369"/>
      <c r="AJ28" s="369">
        <f>IF(AJ67=0,0,+AJ27*-AJ67-Zusatzinfos!$C$37/($J$27+$M$27+$Q$27+$T$27+$V$27+$X$27+$Z$27+$AB$27+$AD$27+$AF$27+$AH$27+$AJ$27+$AL$27+$AN$27+$AP$27+$AV$27+$AX$27+$AZ$27+$BB$27+$BE$27+$BH$27+$BJ$27+$BM$27+$BO$27+$BR$27)*'ITAR_K Gesamtansicht'!AJ27)</f>
        <v>0</v>
      </c>
      <c r="AK28" s="369"/>
      <c r="AL28" s="369">
        <f>IF(AL67=0,0,+AL27*-AL67-Zusatzinfos!$C$37/($J$27+$M$27+$Q$27+$T$27+$V$27+$X$27+$Z$27+$AB$27+$AD$27+$AF$27+$AH$27+$AJ$27+$AL$27+$AN$27+$AP$27+$AV$27+$AX$27+$AZ$27+$BB$27+$BE$27+$BH$27+$BJ$27+$BM$27+$BO$27+$BR$27)*'ITAR_K Gesamtansicht'!AL27)</f>
        <v>0</v>
      </c>
      <c r="AM28" s="369"/>
      <c r="AN28" s="369">
        <f>IF(AN67=0,0,+AN27*-AN67-Zusatzinfos!$C$37/($J$27+$M$27+$Q$27+$T$27+$V$27+$X$27+$Z$27+$AB$27+$AD$27+$AF$27+$AH$27+$AJ$27+$AL$27+$AN$27+$AP$27+$AV$27+$AX$27+$AZ$27+$BB$27+$BE$27+$BH$27+$BJ$27+$BM$27+$BO$27+$BR$27)*'ITAR_K Gesamtansicht'!AN27)</f>
        <v>0</v>
      </c>
      <c r="AO28" s="369"/>
      <c r="AP28" s="369">
        <f>IF(AP67=0,0,+AP27*-AP67-Zusatzinfos!$C$37/($J$27+$M$27+$Q$27+$T$27+$V$27+$X$27+$Z$27+$AB$27+$AD$27+$AF$27+$AH$27+$AJ$27+$AL$27+$AN$27+$AP$27+$AV$27+$AX$27+$AZ$27+$BB$27+$BE$27+$BH$27+$BJ$27+$BM$27+$BO$27+$BR$27)*'ITAR_K Gesamtansicht'!AP27)</f>
        <v>0</v>
      </c>
      <c r="AQ28" s="369"/>
      <c r="AR28" s="369">
        <f>IF(AR67=0,0,+AR27*-AR67-Zusatzinfos!$C$37/($J$27+$M$27+$Q$27+$T$27+$V$27+$X$27+$Z$27+$AB$27+$AD$27+$AF$27+$AH$27+$AJ$27+$AL$27+$AN$27+$AP$27+$AV$27+$AX$27+$AZ$27+$BB$27+$BE$27+$BH$27+$BJ$27+$BM$27+$BO$27+$BR$27)*'ITAR_K Gesamtansicht'!AR27)</f>
        <v>0</v>
      </c>
      <c r="AS28" s="369"/>
      <c r="AT28" s="369">
        <f>IF(AT67=0,0,+AT27*-AT67-Zusatzinfos!$C$37/($J$27+$M$27+$Q$27+$T$27+$V$27+$X$27+$Z$27+$AB$27+$AD$27+$AF$27+$AH$27+$AJ$27+$AL$27+$AN$27+$AP$27+$AV$27+$AX$27+$AZ$27+$BB$27+$BE$27+$BH$27+$BJ$27+$BM$27+$BO$27+$BR$27)*'ITAR_K Gesamtansicht'!AT27)</f>
        <v>0</v>
      </c>
      <c r="AU28" s="369"/>
      <c r="AV28" s="369">
        <f>IF(AV67=0,0,+AV27*-AV67-Zusatzinfos!$C$37/($J$27+$M$27+$Q$27+$T$27+$V$27+$X$27+$Z$27+$AB$27+$AD$27+$AF$27+$AH$27+$AJ$27+$AL$27+$AN$27+$AP$27+$AV$27+$AX$27+$AZ$27+$BB$27+$BE$27+$BH$27+$BJ$27+$BM$27+$BO$27+$BR$27)*'ITAR_K Gesamtansicht'!AV27)</f>
        <v>0</v>
      </c>
      <c r="AW28" s="369"/>
      <c r="AX28" s="369">
        <f>IF(AX67=0,0,+AX27*-AX67-Zusatzinfos!$C$37/($J$27+$M$27+$Q$27+$T$27+$V$27+$X$27+$Z$27+$AB$27+$AD$27+$AF$27+$AH$27+$AJ$27+$AL$27+$AN$27+$AP$27+$AV$27+$AX$27+$AZ$27+$BB$27+$BE$27+$BH$27+$BJ$27+$BM$27+$BO$27+$BR$27)*'ITAR_K Gesamtansicht'!AX27)</f>
        <v>0</v>
      </c>
      <c r="AY28" s="369"/>
      <c r="AZ28" s="369">
        <f>IF(AZ67=0,0,+AZ27*-AZ67-Zusatzinfos!$C$37/($J$27+$M$27+$Q$27+$T$27+$V$27+$X$27+$Z$27+$AB$27+$AD$27+$AF$27+$AH$27+$AJ$27+$AL$27+$AN$27+$AP$27+$AV$27+$AX$27+$AZ$27+$BB$27+$BE$27+$BH$27+$BJ$27+$BM$27+$BO$27+$BR$27)*'ITAR_K Gesamtansicht'!AZ27)</f>
        <v>0</v>
      </c>
      <c r="BA28" s="369"/>
      <c r="BB28" s="369">
        <f>IF(BB67=0,0,+BB27*-BB67-Zusatzinfos!$C$37/($J$27+$M$27+$Q$27+$T$27+$V$27+$X$27+$Z$27+$AB$27+$AD$27+$AF$27+$AH$27+$AJ$27+$AL$27+$AN$27+$AP$27+$AV$27+$AX$27+$AZ$27+$BB$27+$BE$27+$BH$27+$BJ$27+$BM$27+$BO$27+$BR$27)*'ITAR_K Gesamtansicht'!BB27)</f>
        <v>0</v>
      </c>
      <c r="BC28" s="369"/>
      <c r="BD28" s="252"/>
      <c r="BE28" s="252">
        <f>IF(BE67=0,0,+BE27*-BE67-Zusatzinfos!$C$37/($J$27+$M$27+$Q$27+$T$27+$V$27+$X$27+$Z$27+$AB$27+$AD$27+$AF$27+$AH$27+$AJ$27+$AL$27+$AN$27+$AP$27+$AV$27+$AX$27+$AZ$27+$BB$27+$BE$27+$BH$27+$BJ$27+$BM$27+$BO$27+$BR$27)*'ITAR_K Gesamtansicht'!BE27)</f>
        <v>0</v>
      </c>
      <c r="BF28" s="369">
        <f>SUM(S28:BE28)</f>
        <v>0</v>
      </c>
      <c r="BG28" s="252"/>
      <c r="BH28" s="252">
        <f>IF(BH67=0,0,+BH27*-BH67-Zusatzinfos!$C$37/($J$27+$M$27+$Q$27+$T$27+$V$27+$X$27+$Z$27+$AB$27+$AD$27+$AF$27+$AH$27+$AJ$27+$AL$27+$AN$27+$AP$27+$AV$27+$AX$27+$AZ$27+$BB$27+$BE$27+$BH$27+$BJ$27+$BM$27+$BO$27+$BR$27)*'ITAR_K Gesamtansicht'!BH27)</f>
        <v>0</v>
      </c>
      <c r="BI28" s="252"/>
      <c r="BJ28" s="252">
        <f>IF(BJ67=0,0,+BJ27*-BJ67-Zusatzinfos!$C$37/($J$27+$M$27+$Q$27+$T$27+$V$27+$X$27+$Z$27+$AB$27+$AD$27+$AF$27+$AH$27+$AJ$27+$AL$27+$AN$27+$AP$27+$AV$27+$AX$27+$AZ$27+$BB$27+$BE$27+$BH$27+$BJ$27+$BM$27+$BO$27+$BR$27)*'ITAR_K Gesamtansicht'!BJ27)</f>
        <v>0</v>
      </c>
      <c r="BK28" s="252"/>
      <c r="BL28" s="252"/>
      <c r="BM28" s="252">
        <f>IF(BM67=0,0,+BM27*-BM67-Zusatzinfos!$C$37/($J$27+$M$27+$Q$27+$T$27+$V$27+$X$27+$Z$27+$AB$27+$AD$27+$AF$27+$AH$27+$AJ$27+$AL$27+$AN$27+$AP$27+$AV$27+$AX$27+$AZ$27+$BB$27+$BE$27+$BH$27+$BJ$27+$BM$27+$BO$27+$BR$27)*'ITAR_K Gesamtansicht'!BM27)</f>
        <v>0</v>
      </c>
      <c r="BN28" s="252"/>
      <c r="BO28" s="252">
        <f>IF(BO67=0,0,+BO27*-BO67-Zusatzinfos!$C$37/($J$27+$M$27+$Q$27+$T$27+$V$27+$X$27+$Z$27+$AB$27+$AD$27+$AF$27+$AH$27+$AJ$27+$AL$27+$AN$27+$AP$27+$AV$27+$AX$27+$AZ$27+$BB$27+$BE$27+$BH$27+$BJ$27+$BM$27+$BO$27+$BR$27)*'ITAR_K Gesamtansicht'!BO27)</f>
        <v>0</v>
      </c>
      <c r="BP28" s="252"/>
      <c r="BQ28" s="252"/>
      <c r="BR28" s="252">
        <f>IF(BR67=0,0,+BR27*-BR67-Zusatzinfos!$C$37/($J$27+$M$27+$Q$27+$T$27+$V$27+$X$27+$Z$27+$AB$27+$AD$27+$AF$27+$AH$27+$AJ$27+$AL$27+$AN$27+$AP$27+$BE$27+$BH$27+$BJ$27+$BM$27+$BO$27+$BR$27)*'ITAR_K Gesamtansicht'!BR27)</f>
        <v>0</v>
      </c>
      <c r="BS28" s="368">
        <f>SUM(BG28:BR28)</f>
        <v>0</v>
      </c>
      <c r="BT28" s="252"/>
      <c r="BU28" s="252"/>
      <c r="BV28" s="252"/>
      <c r="BW28" s="369">
        <f t="shared" ref="BW28:BW34" si="67">R28+BF28+BS28+BT28+BU28+BV28</f>
        <v>0</v>
      </c>
      <c r="BX28" s="252"/>
      <c r="BY28" s="252"/>
      <c r="BZ28" s="252"/>
      <c r="CA28" s="252"/>
      <c r="CB28" s="252"/>
      <c r="CC28" s="252"/>
      <c r="CD28" s="252"/>
      <c r="CE28" s="248">
        <f>SUM(BX28:CD28)</f>
        <v>0</v>
      </c>
      <c r="CF28" s="374"/>
      <c r="CG28" s="252"/>
      <c r="CH28" s="252"/>
      <c r="CI28" s="368">
        <f t="shared" ref="CI28:CI34" si="68">F28+BW28+CE28+CF28+CG28+CH28</f>
        <v>0</v>
      </c>
      <c r="CJ28" s="248">
        <f>CI28+Zusatzinfos!J14+Zusatzinfos!AX14+Zusatzinfos!BK14+Zusatzinfos!C37</f>
        <v>0</v>
      </c>
      <c r="CK28" s="373"/>
      <c r="CL28" s="373"/>
      <c r="CM28" s="373"/>
      <c r="CN28" s="373"/>
      <c r="CO28" s="373"/>
      <c r="CP28" s="372"/>
      <c r="CQ28" s="373"/>
      <c r="CR28" s="372"/>
      <c r="CS28" s="372"/>
      <c r="CT28" s="372"/>
      <c r="CU28" s="372"/>
      <c r="CV28" s="594">
        <f t="shared" si="31"/>
        <v>0</v>
      </c>
      <c r="CW28" s="600"/>
      <c r="CX28" s="600"/>
      <c r="CY28" s="600"/>
    </row>
    <row r="29" spans="1:103">
      <c r="A29" s="621"/>
      <c r="B29" s="107" t="s">
        <v>671</v>
      </c>
      <c r="C29" s="353"/>
      <c r="D29" s="357"/>
      <c r="E29" s="104"/>
      <c r="F29" s="252"/>
      <c r="G29" s="369"/>
      <c r="H29" s="252"/>
      <c r="I29" s="252">
        <f>-Zusatzentgelt!H619</f>
        <v>0</v>
      </c>
      <c r="J29" s="369">
        <f>-Zusatzentgelt!J619</f>
        <v>0</v>
      </c>
      <c r="K29" s="369">
        <f>SUM(I29+J29)</f>
        <v>0</v>
      </c>
      <c r="L29" s="252">
        <f>-Zusatzentgelt!L619</f>
        <v>0</v>
      </c>
      <c r="M29" s="252">
        <f>-Zusatzentgelt!N619</f>
        <v>0</v>
      </c>
      <c r="N29" s="369">
        <f t="shared" si="15"/>
        <v>0</v>
      </c>
      <c r="O29" s="252">
        <f>-Zusatzentgelt!P619</f>
        <v>0</v>
      </c>
      <c r="P29" s="252">
        <f>-Zusatzentgelt!R619</f>
        <v>0</v>
      </c>
      <c r="Q29" s="252">
        <f>-Zusatzentgelt!T619</f>
        <v>0</v>
      </c>
      <c r="R29" s="248">
        <f t="shared" si="66"/>
        <v>0</v>
      </c>
      <c r="S29" s="252"/>
      <c r="T29" s="252"/>
      <c r="U29" s="252"/>
      <c r="V29" s="252"/>
      <c r="W29" s="252"/>
      <c r="X29" s="252"/>
      <c r="Y29" s="252"/>
      <c r="Z29" s="252"/>
      <c r="AA29" s="252"/>
      <c r="AB29" s="252"/>
      <c r="AC29" s="252"/>
      <c r="AD29" s="252"/>
      <c r="AE29" s="252"/>
      <c r="AF29" s="252"/>
      <c r="AG29" s="252"/>
      <c r="AH29" s="252"/>
      <c r="AI29" s="252"/>
      <c r="AJ29" s="252"/>
      <c r="AK29" s="252"/>
      <c r="AL29" s="252"/>
      <c r="AM29" s="252"/>
      <c r="AN29" s="252"/>
      <c r="AO29" s="252"/>
      <c r="AP29" s="252"/>
      <c r="AQ29" s="369"/>
      <c r="AR29" s="369"/>
      <c r="AS29" s="369"/>
      <c r="AT29" s="369"/>
      <c r="AU29" s="369"/>
      <c r="AV29" s="369"/>
      <c r="AW29" s="369"/>
      <c r="AX29" s="369"/>
      <c r="AY29" s="369"/>
      <c r="AZ29" s="369"/>
      <c r="BA29" s="369"/>
      <c r="BB29" s="369"/>
      <c r="BC29" s="369"/>
      <c r="BD29" s="252"/>
      <c r="BE29" s="252"/>
      <c r="BF29" s="369"/>
      <c r="BG29" s="252"/>
      <c r="BH29" s="252"/>
      <c r="BI29" s="252"/>
      <c r="BJ29" s="252"/>
      <c r="BK29" s="252"/>
      <c r="BL29" s="252"/>
      <c r="BM29" s="252"/>
      <c r="BN29" s="252"/>
      <c r="BO29" s="252"/>
      <c r="BP29" s="252"/>
      <c r="BQ29" s="252"/>
      <c r="BR29" s="252"/>
      <c r="BS29" s="368"/>
      <c r="BT29" s="252"/>
      <c r="BU29" s="252"/>
      <c r="BV29" s="252"/>
      <c r="BW29" s="369">
        <f t="shared" si="67"/>
        <v>0</v>
      </c>
      <c r="BX29" s="252"/>
      <c r="BY29" s="252"/>
      <c r="BZ29" s="252"/>
      <c r="CA29" s="252"/>
      <c r="CB29" s="252"/>
      <c r="CC29" s="252"/>
      <c r="CD29" s="252"/>
      <c r="CE29" s="248"/>
      <c r="CF29" s="374"/>
      <c r="CG29" s="252"/>
      <c r="CH29" s="252"/>
      <c r="CI29" s="368">
        <f t="shared" si="68"/>
        <v>0</v>
      </c>
      <c r="CJ29" s="249"/>
      <c r="CK29" s="252"/>
      <c r="CL29" s="252"/>
      <c r="CM29" s="252"/>
      <c r="CN29" s="252"/>
      <c r="CO29" s="252"/>
      <c r="CP29" s="252"/>
      <c r="CQ29" s="252"/>
      <c r="CR29" s="252"/>
      <c r="CS29" s="252"/>
      <c r="CT29" s="252"/>
      <c r="CU29" s="252"/>
      <c r="CV29" s="594">
        <f t="shared" si="31"/>
        <v>0</v>
      </c>
      <c r="CW29" s="431"/>
      <c r="CX29" s="431"/>
      <c r="CY29" s="431"/>
    </row>
    <row r="30" spans="1:103">
      <c r="A30" s="621"/>
      <c r="B30" s="108" t="s">
        <v>551</v>
      </c>
      <c r="C30" s="353">
        <f>+Zusatzinfos!C154</f>
        <v>0</v>
      </c>
      <c r="D30" s="357"/>
      <c r="E30" s="104"/>
      <c r="F30" s="252"/>
      <c r="G30" s="369"/>
      <c r="H30" s="252"/>
      <c r="I30" s="250" t="e">
        <f>+$C$30/($CI$27-$F$27-$CF$27-$CG$27)*I27</f>
        <v>#DIV/0!</v>
      </c>
      <c r="J30" s="367" t="e">
        <f>+$C$30/($CI$27-$F$27-$CF$27-$CG$27)*J27</f>
        <v>#DIV/0!</v>
      </c>
      <c r="K30" s="367" t="e">
        <f>SUM(I30+J30)</f>
        <v>#DIV/0!</v>
      </c>
      <c r="L30" s="250" t="e">
        <f>+$C$30/($CI$27-$F$27-$CF$27-$CG$27)*L27</f>
        <v>#DIV/0!</v>
      </c>
      <c r="M30" s="250" t="e">
        <f>+$C$30/($CI$27-$F$27-$CF$27-$CG$27)*M27</f>
        <v>#DIV/0!</v>
      </c>
      <c r="N30" s="367" t="e">
        <f t="shared" si="15"/>
        <v>#DIV/0!</v>
      </c>
      <c r="O30" s="250" t="e">
        <f>+$C$30/($CI$27-$F$27-$CF$27-$CG$27)*O27</f>
        <v>#DIV/0!</v>
      </c>
      <c r="P30" s="250" t="e">
        <f>+$C$30/($CI$27-$F$27-$CF$27-$CG$27)*P27</f>
        <v>#DIV/0!</v>
      </c>
      <c r="Q30" s="250" t="e">
        <f>+$C$30/($CI$27-$F$27-$CF$27-$CG$27)*Q27</f>
        <v>#DIV/0!</v>
      </c>
      <c r="R30" s="368" t="e">
        <f t="shared" si="66"/>
        <v>#DIV/0!</v>
      </c>
      <c r="S30" s="250" t="e">
        <f t="shared" ref="S30:AP30" si="69">+$C$30/($CI$27-$F$27-$CF$27-$CG$27)*S27</f>
        <v>#DIV/0!</v>
      </c>
      <c r="T30" s="250" t="e">
        <f t="shared" si="69"/>
        <v>#DIV/0!</v>
      </c>
      <c r="U30" s="250" t="e">
        <f t="shared" si="69"/>
        <v>#DIV/0!</v>
      </c>
      <c r="V30" s="250" t="e">
        <f t="shared" si="69"/>
        <v>#DIV/0!</v>
      </c>
      <c r="W30" s="250" t="e">
        <f t="shared" si="69"/>
        <v>#DIV/0!</v>
      </c>
      <c r="X30" s="250" t="e">
        <f t="shared" si="69"/>
        <v>#DIV/0!</v>
      </c>
      <c r="Y30" s="250" t="e">
        <f t="shared" si="69"/>
        <v>#DIV/0!</v>
      </c>
      <c r="Z30" s="250" t="e">
        <f t="shared" si="69"/>
        <v>#DIV/0!</v>
      </c>
      <c r="AA30" s="250" t="e">
        <f t="shared" si="69"/>
        <v>#DIV/0!</v>
      </c>
      <c r="AB30" s="250" t="e">
        <f t="shared" si="69"/>
        <v>#DIV/0!</v>
      </c>
      <c r="AC30" s="250" t="e">
        <f t="shared" si="69"/>
        <v>#DIV/0!</v>
      </c>
      <c r="AD30" s="250" t="e">
        <f t="shared" si="69"/>
        <v>#DIV/0!</v>
      </c>
      <c r="AE30" s="250" t="e">
        <f t="shared" si="69"/>
        <v>#DIV/0!</v>
      </c>
      <c r="AF30" s="250" t="e">
        <f t="shared" si="69"/>
        <v>#DIV/0!</v>
      </c>
      <c r="AG30" s="250" t="e">
        <f t="shared" si="69"/>
        <v>#DIV/0!</v>
      </c>
      <c r="AH30" s="250" t="e">
        <f t="shared" si="69"/>
        <v>#DIV/0!</v>
      </c>
      <c r="AI30" s="250" t="e">
        <f t="shared" si="69"/>
        <v>#DIV/0!</v>
      </c>
      <c r="AJ30" s="250" t="e">
        <f t="shared" si="69"/>
        <v>#DIV/0!</v>
      </c>
      <c r="AK30" s="250" t="e">
        <f t="shared" si="69"/>
        <v>#DIV/0!</v>
      </c>
      <c r="AL30" s="250" t="e">
        <f t="shared" si="69"/>
        <v>#DIV/0!</v>
      </c>
      <c r="AM30" s="250" t="e">
        <f t="shared" si="69"/>
        <v>#DIV/0!</v>
      </c>
      <c r="AN30" s="250" t="e">
        <f t="shared" si="69"/>
        <v>#DIV/0!</v>
      </c>
      <c r="AO30" s="250" t="e">
        <f t="shared" si="69"/>
        <v>#DIV/0!</v>
      </c>
      <c r="AP30" s="250" t="e">
        <f t="shared" si="69"/>
        <v>#DIV/0!</v>
      </c>
      <c r="AQ30" s="367" t="e">
        <f t="shared" ref="AQ30:AT30" si="70">+$C$30/($CI$27-$F$27-$CF$27-$CG$27)*AQ27</f>
        <v>#DIV/0!</v>
      </c>
      <c r="AR30" s="367" t="e">
        <f t="shared" si="70"/>
        <v>#DIV/0!</v>
      </c>
      <c r="AS30" s="367" t="e">
        <f t="shared" si="70"/>
        <v>#DIV/0!</v>
      </c>
      <c r="AT30" s="367" t="e">
        <f t="shared" si="70"/>
        <v>#DIV/0!</v>
      </c>
      <c r="AU30" s="367" t="e">
        <f t="shared" ref="AU30:BE30" si="71">+$C$30/($CI$27-$F$27-$CF$27-$CG$27)*AU27</f>
        <v>#DIV/0!</v>
      </c>
      <c r="AV30" s="367" t="e">
        <f t="shared" si="71"/>
        <v>#DIV/0!</v>
      </c>
      <c r="AW30" s="367" t="e">
        <f t="shared" si="71"/>
        <v>#DIV/0!</v>
      </c>
      <c r="AX30" s="367" t="e">
        <f t="shared" si="71"/>
        <v>#DIV/0!</v>
      </c>
      <c r="AY30" s="367" t="e">
        <f t="shared" si="71"/>
        <v>#DIV/0!</v>
      </c>
      <c r="AZ30" s="367" t="e">
        <f t="shared" si="71"/>
        <v>#DIV/0!</v>
      </c>
      <c r="BA30" s="367" t="e">
        <f t="shared" si="71"/>
        <v>#DIV/0!</v>
      </c>
      <c r="BB30" s="367" t="e">
        <f t="shared" si="71"/>
        <v>#DIV/0!</v>
      </c>
      <c r="BC30" s="367" t="e">
        <f t="shared" si="71"/>
        <v>#DIV/0!</v>
      </c>
      <c r="BD30" s="250" t="e">
        <f t="shared" si="71"/>
        <v>#DIV/0!</v>
      </c>
      <c r="BE30" s="250" t="e">
        <f t="shared" si="71"/>
        <v>#DIV/0!</v>
      </c>
      <c r="BF30" s="369" t="e">
        <f>SUM(S30:BE30)</f>
        <v>#DIV/0!</v>
      </c>
      <c r="BG30" s="250" t="e">
        <f t="shared" ref="BG30:BR30" si="72">+$C$30/($CI$27-$F$27-$CF$27-$CG$27)*BG27</f>
        <v>#DIV/0!</v>
      </c>
      <c r="BH30" s="250" t="e">
        <f t="shared" si="72"/>
        <v>#DIV/0!</v>
      </c>
      <c r="BI30" s="250" t="e">
        <f t="shared" si="72"/>
        <v>#DIV/0!</v>
      </c>
      <c r="BJ30" s="250" t="e">
        <f t="shared" si="72"/>
        <v>#DIV/0!</v>
      </c>
      <c r="BK30" s="250" t="e">
        <f t="shared" si="72"/>
        <v>#DIV/0!</v>
      </c>
      <c r="BL30" s="250" t="e">
        <f t="shared" si="72"/>
        <v>#DIV/0!</v>
      </c>
      <c r="BM30" s="250" t="e">
        <f t="shared" si="72"/>
        <v>#DIV/0!</v>
      </c>
      <c r="BN30" s="250" t="e">
        <f t="shared" si="72"/>
        <v>#DIV/0!</v>
      </c>
      <c r="BO30" s="250" t="e">
        <f t="shared" si="72"/>
        <v>#DIV/0!</v>
      </c>
      <c r="BP30" s="250" t="e">
        <f t="shared" si="72"/>
        <v>#DIV/0!</v>
      </c>
      <c r="BQ30" s="250" t="e">
        <f t="shared" si="72"/>
        <v>#DIV/0!</v>
      </c>
      <c r="BR30" s="250" t="e">
        <f t="shared" si="72"/>
        <v>#DIV/0!</v>
      </c>
      <c r="BS30" s="368" t="e">
        <f>SUM(BG30:BR30)</f>
        <v>#DIV/0!</v>
      </c>
      <c r="BT30" s="250" t="e">
        <f>+$C$30/($CI$27-$F$27-$CF$27-$CG$27)*BT27</f>
        <v>#DIV/0!</v>
      </c>
      <c r="BU30" s="250" t="e">
        <f>+$C$30/($CI$27-$F$27-$CF$27-$CG$27)*BU27</f>
        <v>#DIV/0!</v>
      </c>
      <c r="BV30" s="250" t="e">
        <f>+$C$30/($CI$27-$F$27-$CF$27-$CG$27)*BV27</f>
        <v>#DIV/0!</v>
      </c>
      <c r="BW30" s="369" t="e">
        <f t="shared" si="67"/>
        <v>#DIV/0!</v>
      </c>
      <c r="BX30" s="250" t="e">
        <f t="shared" ref="BX30:CD30" si="73">+$C$30/($CI$27-$F$27-$CF$27-$CG$27)*BX27</f>
        <v>#DIV/0!</v>
      </c>
      <c r="BY30" s="250" t="e">
        <f t="shared" si="73"/>
        <v>#DIV/0!</v>
      </c>
      <c r="BZ30" s="250" t="e">
        <f t="shared" si="73"/>
        <v>#DIV/0!</v>
      </c>
      <c r="CA30" s="250" t="e">
        <f t="shared" si="73"/>
        <v>#DIV/0!</v>
      </c>
      <c r="CB30" s="250" t="e">
        <f t="shared" si="73"/>
        <v>#DIV/0!</v>
      </c>
      <c r="CC30" s="250" t="e">
        <f t="shared" si="73"/>
        <v>#DIV/0!</v>
      </c>
      <c r="CD30" s="250" t="e">
        <f t="shared" si="73"/>
        <v>#DIV/0!</v>
      </c>
      <c r="CE30" s="248" t="e">
        <f>SUM(BX30:CD30)</f>
        <v>#DIV/0!</v>
      </c>
      <c r="CF30" s="374"/>
      <c r="CG30" s="252"/>
      <c r="CH30" s="367" t="e">
        <f>+$C$30/($CI$27-$F$27-$CF$27-$CG$27)*CH27</f>
        <v>#DIV/0!</v>
      </c>
      <c r="CI30" s="368" t="e">
        <f t="shared" si="68"/>
        <v>#DIV/0!</v>
      </c>
      <c r="CJ30" s="249"/>
      <c r="CK30" s="252"/>
      <c r="CL30" s="252"/>
      <c r="CM30" s="252"/>
      <c r="CN30" s="252"/>
      <c r="CO30" s="252"/>
      <c r="CP30" s="252"/>
      <c r="CQ30" s="252"/>
      <c r="CR30" s="252"/>
      <c r="CS30" s="252"/>
      <c r="CT30" s="252"/>
      <c r="CU30" s="252"/>
      <c r="CV30" s="594"/>
      <c r="CW30" s="431"/>
      <c r="CX30" s="431"/>
      <c r="CY30" s="431"/>
    </row>
    <row r="31" spans="1:103" s="28" customFormat="1">
      <c r="A31" s="111"/>
      <c r="B31" s="108" t="s">
        <v>19</v>
      </c>
      <c r="C31" s="103"/>
      <c r="D31" s="104"/>
      <c r="E31" s="104"/>
      <c r="F31" s="250"/>
      <c r="G31" s="367"/>
      <c r="H31" s="250"/>
      <c r="I31" s="250"/>
      <c r="J31" s="250"/>
      <c r="K31" s="367"/>
      <c r="L31" s="250"/>
      <c r="M31" s="250"/>
      <c r="N31" s="367"/>
      <c r="O31" s="250"/>
      <c r="P31" s="250"/>
      <c r="Q31" s="250"/>
      <c r="R31" s="250"/>
      <c r="S31" s="250"/>
      <c r="T31" s="250"/>
      <c r="U31" s="250"/>
      <c r="V31" s="250"/>
      <c r="W31" s="250"/>
      <c r="X31" s="250"/>
      <c r="Y31" s="250"/>
      <c r="Z31" s="250"/>
      <c r="AA31" s="250"/>
      <c r="AB31" s="250"/>
      <c r="AC31" s="250"/>
      <c r="AD31" s="250"/>
      <c r="AE31" s="250"/>
      <c r="AF31" s="250"/>
      <c r="AG31" s="250"/>
      <c r="AH31" s="250"/>
      <c r="AI31" s="250"/>
      <c r="AJ31" s="250"/>
      <c r="AK31" s="250"/>
      <c r="AL31" s="250"/>
      <c r="AM31" s="250"/>
      <c r="AN31" s="250"/>
      <c r="AO31" s="250"/>
      <c r="AP31" s="250"/>
      <c r="AQ31" s="367"/>
      <c r="AR31" s="367"/>
      <c r="AS31" s="367"/>
      <c r="AT31" s="367"/>
      <c r="AU31" s="367"/>
      <c r="AV31" s="367"/>
      <c r="AW31" s="367"/>
      <c r="AX31" s="367"/>
      <c r="AY31" s="367"/>
      <c r="AZ31" s="367"/>
      <c r="BA31" s="367"/>
      <c r="BB31" s="367"/>
      <c r="BC31" s="367"/>
      <c r="BD31" s="250"/>
      <c r="BE31" s="250"/>
      <c r="BF31" s="369"/>
      <c r="BG31" s="250"/>
      <c r="BH31" s="250"/>
      <c r="BI31" s="250"/>
      <c r="BJ31" s="250"/>
      <c r="BK31" s="250"/>
      <c r="BL31" s="250"/>
      <c r="BM31" s="250"/>
      <c r="BN31" s="250"/>
      <c r="BO31" s="250"/>
      <c r="BP31" s="250"/>
      <c r="BQ31" s="250"/>
      <c r="BR31" s="250"/>
      <c r="BS31" s="368"/>
      <c r="BT31" s="250"/>
      <c r="BU31" s="250"/>
      <c r="BV31" s="250"/>
      <c r="BW31" s="367">
        <f t="shared" si="67"/>
        <v>0</v>
      </c>
      <c r="BX31" s="250"/>
      <c r="BY31" s="250"/>
      <c r="BZ31" s="250"/>
      <c r="CA31" s="250"/>
      <c r="CB31" s="250"/>
      <c r="CC31" s="250"/>
      <c r="CD31" s="250"/>
      <c r="CE31" s="248"/>
      <c r="CF31" s="251"/>
      <c r="CG31" s="250"/>
      <c r="CH31" s="250"/>
      <c r="CI31" s="368">
        <f t="shared" si="68"/>
        <v>0</v>
      </c>
      <c r="CJ31" s="250"/>
      <c r="CK31" s="250" t="e">
        <f>'KTR-Ausweis Gesamtansicht'!$CV$71/SUM($CK$27:$CU$27)*CK27</f>
        <v>#DIV/0!</v>
      </c>
      <c r="CL31" s="250" t="e">
        <f>'KTR-Ausweis Gesamtansicht'!$CV$71/SUM($CK$27:$CU$27)*CL27</f>
        <v>#DIV/0!</v>
      </c>
      <c r="CM31" s="250" t="e">
        <f>'KTR-Ausweis Gesamtansicht'!$CV$71/SUM($CK$27:$CU$27)*CM27</f>
        <v>#DIV/0!</v>
      </c>
      <c r="CN31" s="250" t="e">
        <f>'KTR-Ausweis Gesamtansicht'!$CV$71/SUM($CK$27:$CU$27)*CN27</f>
        <v>#DIV/0!</v>
      </c>
      <c r="CO31" s="250" t="e">
        <f>'KTR-Ausweis Gesamtansicht'!$CV$71/SUM($CK$27:$CU$27)*CO27</f>
        <v>#DIV/0!</v>
      </c>
      <c r="CP31" s="250" t="e">
        <f>'KTR-Ausweis Gesamtansicht'!$CV$71/SUM($CK$27:$CU$27)*CP27</f>
        <v>#DIV/0!</v>
      </c>
      <c r="CQ31" s="250" t="e">
        <f>'KTR-Ausweis Gesamtansicht'!$CV$71/SUM($CK$27:$CU$27)*CQ27</f>
        <v>#DIV/0!</v>
      </c>
      <c r="CR31" s="251" t="e">
        <f>'KTR-Ausweis Gesamtansicht'!$CV$71/SUM($CK$27:$CU$27)*CR27</f>
        <v>#DIV/0!</v>
      </c>
      <c r="CS31" s="251" t="e">
        <f>'KTR-Ausweis Gesamtansicht'!$CV$71/SUM($CK$27:$CU$27)*CS27</f>
        <v>#DIV/0!</v>
      </c>
      <c r="CT31" s="251" t="e">
        <f>'KTR-Ausweis Gesamtansicht'!$CV$71/SUM($CK$27:$CU$27)*CT27</f>
        <v>#DIV/0!</v>
      </c>
      <c r="CU31" s="251" t="e">
        <f>'KTR-Ausweis Gesamtansicht'!$CV$71/SUM($CK$27:$CU$27)*CU27</f>
        <v>#DIV/0!</v>
      </c>
      <c r="CV31" s="594" t="e">
        <f>SUM(CK31:CU31)-CH31-'KTR-Ausweis Gesamtansicht'!CV71</f>
        <v>#DIV/0!</v>
      </c>
      <c r="CW31" s="579"/>
      <c r="CX31" s="579"/>
      <c r="CY31" s="579"/>
    </row>
    <row r="32" spans="1:103" s="29" customFormat="1">
      <c r="A32" s="114"/>
      <c r="B32" s="107" t="s">
        <v>20</v>
      </c>
      <c r="C32" s="5"/>
      <c r="D32" s="6"/>
      <c r="E32" s="6"/>
      <c r="F32" s="575"/>
      <c r="G32" s="575"/>
      <c r="H32" s="575"/>
      <c r="I32" s="375"/>
      <c r="J32" s="375"/>
      <c r="K32" s="399"/>
      <c r="L32" s="375"/>
      <c r="M32" s="375"/>
      <c r="N32" s="399"/>
      <c r="O32" s="375"/>
      <c r="P32" s="375"/>
      <c r="Q32" s="375"/>
      <c r="R32" s="375"/>
      <c r="S32" s="375"/>
      <c r="T32" s="375"/>
      <c r="U32" s="375"/>
      <c r="V32" s="375"/>
      <c r="W32" s="375"/>
      <c r="X32" s="375"/>
      <c r="Y32" s="375"/>
      <c r="Z32" s="375"/>
      <c r="AA32" s="375"/>
      <c r="AB32" s="375"/>
      <c r="AC32" s="375"/>
      <c r="AD32" s="375"/>
      <c r="AE32" s="375"/>
      <c r="AF32" s="375"/>
      <c r="AG32" s="375"/>
      <c r="AH32" s="375"/>
      <c r="AI32" s="375"/>
      <c r="AJ32" s="375"/>
      <c r="AK32" s="375"/>
      <c r="AL32" s="375"/>
      <c r="AM32" s="375"/>
      <c r="AN32" s="375"/>
      <c r="AO32" s="375"/>
      <c r="AP32" s="375"/>
      <c r="AQ32" s="399"/>
      <c r="AR32" s="399"/>
      <c r="AS32" s="399"/>
      <c r="AT32" s="399"/>
      <c r="AU32" s="399"/>
      <c r="AV32" s="399"/>
      <c r="AW32" s="399"/>
      <c r="AX32" s="399"/>
      <c r="AY32" s="399"/>
      <c r="AZ32" s="399"/>
      <c r="BA32" s="399"/>
      <c r="BB32" s="399"/>
      <c r="BC32" s="399"/>
      <c r="BD32" s="375"/>
      <c r="BE32" s="375"/>
      <c r="BF32" s="369"/>
      <c r="BG32" s="375"/>
      <c r="BH32" s="375"/>
      <c r="BI32" s="375"/>
      <c r="BJ32" s="375"/>
      <c r="BK32" s="375"/>
      <c r="BL32" s="375"/>
      <c r="BM32" s="375"/>
      <c r="BN32" s="375"/>
      <c r="BO32" s="375"/>
      <c r="BP32" s="375"/>
      <c r="BQ32" s="375"/>
      <c r="BR32" s="375"/>
      <c r="BS32" s="368"/>
      <c r="BT32" s="375"/>
      <c r="BU32" s="375"/>
      <c r="BV32" s="375"/>
      <c r="BW32" s="367">
        <f t="shared" si="67"/>
        <v>0</v>
      </c>
      <c r="BX32" s="375"/>
      <c r="BY32" s="375"/>
      <c r="BZ32" s="375"/>
      <c r="CA32" s="375"/>
      <c r="CB32" s="375"/>
      <c r="CC32" s="375"/>
      <c r="CD32" s="375"/>
      <c r="CE32" s="248"/>
      <c r="CF32" s="376"/>
      <c r="CG32" s="375"/>
      <c r="CH32" s="375"/>
      <c r="CI32" s="368">
        <f t="shared" si="68"/>
        <v>0</v>
      </c>
      <c r="CJ32" s="576"/>
      <c r="CK32" s="250" t="e">
        <f>+$CH$58/SUM($CK$27:$CU$27)*CK27</f>
        <v>#DIV/0!</v>
      </c>
      <c r="CL32" s="250" t="e">
        <f t="shared" ref="CL32:CU32" si="74">+$CH$58/SUM($CK$27:$CU$27)*CL27</f>
        <v>#DIV/0!</v>
      </c>
      <c r="CM32" s="250" t="e">
        <f t="shared" si="74"/>
        <v>#DIV/0!</v>
      </c>
      <c r="CN32" s="250" t="e">
        <f t="shared" si="74"/>
        <v>#DIV/0!</v>
      </c>
      <c r="CO32" s="250" t="e">
        <f t="shared" si="74"/>
        <v>#DIV/0!</v>
      </c>
      <c r="CP32" s="250" t="e">
        <f t="shared" si="74"/>
        <v>#DIV/0!</v>
      </c>
      <c r="CQ32" s="250" t="e">
        <f t="shared" si="74"/>
        <v>#DIV/0!</v>
      </c>
      <c r="CR32" s="251" t="e">
        <f t="shared" si="74"/>
        <v>#DIV/0!</v>
      </c>
      <c r="CS32" s="251" t="e">
        <f t="shared" si="74"/>
        <v>#DIV/0!</v>
      </c>
      <c r="CT32" s="251" t="e">
        <f t="shared" si="74"/>
        <v>#DIV/0!</v>
      </c>
      <c r="CU32" s="251" t="e">
        <f t="shared" si="74"/>
        <v>#DIV/0!</v>
      </c>
      <c r="CV32" s="594" t="e">
        <f>SUM(CK32:CU32)-CH58</f>
        <v>#DIV/0!</v>
      </c>
      <c r="CW32" s="601"/>
      <c r="CX32" s="601"/>
      <c r="CY32" s="601"/>
    </row>
    <row r="33" spans="1:103" s="102" customFormat="1">
      <c r="A33" s="111"/>
      <c r="B33" s="107" t="s">
        <v>1437</v>
      </c>
      <c r="C33" s="5"/>
      <c r="D33" s="104"/>
      <c r="E33" s="104"/>
      <c r="F33" s="250" t="e">
        <f>IF($E$64="",-$E$13/$CI$19*F19,0)</f>
        <v>#DIV/0!</v>
      </c>
      <c r="G33" s="367"/>
      <c r="H33" s="367"/>
      <c r="I33" s="367" t="e">
        <f>IF($E$64="",-$E$13/$CI$19*I19,0)</f>
        <v>#DIV/0!</v>
      </c>
      <c r="J33" s="367" t="e">
        <f t="shared" ref="J33:P33" si="75">IF($E$64="",-$E$13/$CI$19*J19,0)</f>
        <v>#DIV/0!</v>
      </c>
      <c r="K33" s="367" t="e">
        <f>SUM(I33+J33)</f>
        <v>#DIV/0!</v>
      </c>
      <c r="L33" s="250" t="e">
        <f t="shared" si="75"/>
        <v>#DIV/0!</v>
      </c>
      <c r="M33" s="250" t="e">
        <f t="shared" si="75"/>
        <v>#DIV/0!</v>
      </c>
      <c r="N33" s="367" t="e">
        <f>SUM(L33+M33)</f>
        <v>#DIV/0!</v>
      </c>
      <c r="O33" s="250" t="e">
        <f t="shared" si="75"/>
        <v>#DIV/0!</v>
      </c>
      <c r="P33" s="250" t="e">
        <f t="shared" si="75"/>
        <v>#DIV/0!</v>
      </c>
      <c r="Q33" s="250" t="e">
        <f>IF($E$64="",-$E$13/$CI$19*Q19,0)</f>
        <v>#DIV/0!</v>
      </c>
      <c r="R33" s="248" t="e">
        <f t="shared" si="66"/>
        <v>#DIV/0!</v>
      </c>
      <c r="S33" s="250" t="e">
        <f t="shared" ref="S33:BE33" si="76">IF($E$64="",-$E$13/$CI$19*S19,0)</f>
        <v>#DIV/0!</v>
      </c>
      <c r="T33" s="250" t="e">
        <f t="shared" si="76"/>
        <v>#DIV/0!</v>
      </c>
      <c r="U33" s="250" t="e">
        <f t="shared" si="76"/>
        <v>#DIV/0!</v>
      </c>
      <c r="V33" s="250" t="e">
        <f t="shared" si="76"/>
        <v>#DIV/0!</v>
      </c>
      <c r="W33" s="250" t="e">
        <f t="shared" si="76"/>
        <v>#DIV/0!</v>
      </c>
      <c r="X33" s="250" t="e">
        <f t="shared" si="76"/>
        <v>#DIV/0!</v>
      </c>
      <c r="Y33" s="250" t="e">
        <f t="shared" si="76"/>
        <v>#DIV/0!</v>
      </c>
      <c r="Z33" s="250" t="e">
        <f t="shared" si="76"/>
        <v>#DIV/0!</v>
      </c>
      <c r="AA33" s="250" t="e">
        <f t="shared" si="76"/>
        <v>#DIV/0!</v>
      </c>
      <c r="AB33" s="250" t="e">
        <f t="shared" si="76"/>
        <v>#DIV/0!</v>
      </c>
      <c r="AC33" s="250" t="e">
        <f t="shared" si="76"/>
        <v>#DIV/0!</v>
      </c>
      <c r="AD33" s="250" t="e">
        <f t="shared" si="76"/>
        <v>#DIV/0!</v>
      </c>
      <c r="AE33" s="250" t="e">
        <f t="shared" si="76"/>
        <v>#DIV/0!</v>
      </c>
      <c r="AF33" s="250" t="e">
        <f t="shared" si="76"/>
        <v>#DIV/0!</v>
      </c>
      <c r="AG33" s="250" t="e">
        <f t="shared" si="76"/>
        <v>#DIV/0!</v>
      </c>
      <c r="AH33" s="250" t="e">
        <f t="shared" si="76"/>
        <v>#DIV/0!</v>
      </c>
      <c r="AI33" s="250" t="e">
        <f t="shared" si="76"/>
        <v>#DIV/0!</v>
      </c>
      <c r="AJ33" s="250" t="e">
        <f t="shared" si="76"/>
        <v>#DIV/0!</v>
      </c>
      <c r="AK33" s="250" t="e">
        <f t="shared" si="76"/>
        <v>#DIV/0!</v>
      </c>
      <c r="AL33" s="250" t="e">
        <f t="shared" si="76"/>
        <v>#DIV/0!</v>
      </c>
      <c r="AM33" s="250" t="e">
        <f t="shared" si="76"/>
        <v>#DIV/0!</v>
      </c>
      <c r="AN33" s="250" t="e">
        <f t="shared" si="76"/>
        <v>#DIV/0!</v>
      </c>
      <c r="AO33" s="250" t="e">
        <f t="shared" si="76"/>
        <v>#DIV/0!</v>
      </c>
      <c r="AP33" s="250" t="e">
        <f t="shared" si="76"/>
        <v>#DIV/0!</v>
      </c>
      <c r="AQ33" s="367" t="e">
        <f t="shared" si="76"/>
        <v>#DIV/0!</v>
      </c>
      <c r="AR33" s="367" t="e">
        <f t="shared" si="76"/>
        <v>#DIV/0!</v>
      </c>
      <c r="AS33" s="367" t="e">
        <f t="shared" si="76"/>
        <v>#DIV/0!</v>
      </c>
      <c r="AT33" s="367" t="e">
        <f t="shared" si="76"/>
        <v>#DIV/0!</v>
      </c>
      <c r="AU33" s="367" t="e">
        <f t="shared" si="76"/>
        <v>#DIV/0!</v>
      </c>
      <c r="AV33" s="367" t="e">
        <f t="shared" si="76"/>
        <v>#DIV/0!</v>
      </c>
      <c r="AW33" s="367" t="e">
        <f t="shared" si="76"/>
        <v>#DIV/0!</v>
      </c>
      <c r="AX33" s="367" t="e">
        <f t="shared" si="76"/>
        <v>#DIV/0!</v>
      </c>
      <c r="AY33" s="367" t="e">
        <f t="shared" si="76"/>
        <v>#DIV/0!</v>
      </c>
      <c r="AZ33" s="367" t="e">
        <f t="shared" si="76"/>
        <v>#DIV/0!</v>
      </c>
      <c r="BA33" s="367" t="e">
        <f t="shared" si="76"/>
        <v>#DIV/0!</v>
      </c>
      <c r="BB33" s="367" t="e">
        <f t="shared" si="76"/>
        <v>#DIV/0!</v>
      </c>
      <c r="BC33" s="367" t="e">
        <f t="shared" si="76"/>
        <v>#DIV/0!</v>
      </c>
      <c r="BD33" s="250" t="e">
        <f t="shared" si="76"/>
        <v>#DIV/0!</v>
      </c>
      <c r="BE33" s="250" t="e">
        <f t="shared" si="76"/>
        <v>#DIV/0!</v>
      </c>
      <c r="BF33" s="369" t="e">
        <f>SUM(S33:BE33)</f>
        <v>#DIV/0!</v>
      </c>
      <c r="BG33" s="250" t="e">
        <f>IF($E$64="",-$E$13/$CI$19*BG19,0)</f>
        <v>#DIV/0!</v>
      </c>
      <c r="BH33" s="250" t="e">
        <f t="shared" ref="BH33:CG33" si="77">IF($E$64="",-$E$13/$CI$19*BH19,0)</f>
        <v>#DIV/0!</v>
      </c>
      <c r="BI33" s="250" t="e">
        <f t="shared" si="77"/>
        <v>#DIV/0!</v>
      </c>
      <c r="BJ33" s="250" t="e">
        <f t="shared" si="77"/>
        <v>#DIV/0!</v>
      </c>
      <c r="BK33" s="250" t="e">
        <f t="shared" si="77"/>
        <v>#DIV/0!</v>
      </c>
      <c r="BL33" s="250" t="e">
        <f t="shared" si="77"/>
        <v>#DIV/0!</v>
      </c>
      <c r="BM33" s="250" t="e">
        <f t="shared" si="77"/>
        <v>#DIV/0!</v>
      </c>
      <c r="BN33" s="250" t="e">
        <f t="shared" si="77"/>
        <v>#DIV/0!</v>
      </c>
      <c r="BO33" s="250" t="e">
        <f t="shared" si="77"/>
        <v>#DIV/0!</v>
      </c>
      <c r="BP33" s="250" t="e">
        <f t="shared" si="77"/>
        <v>#DIV/0!</v>
      </c>
      <c r="BQ33" s="250" t="e">
        <f t="shared" si="77"/>
        <v>#DIV/0!</v>
      </c>
      <c r="BR33" s="250" t="e">
        <f t="shared" si="77"/>
        <v>#DIV/0!</v>
      </c>
      <c r="BS33" s="368" t="e">
        <f t="shared" si="4"/>
        <v>#DIV/0!</v>
      </c>
      <c r="BT33" s="250" t="e">
        <f t="shared" si="77"/>
        <v>#DIV/0!</v>
      </c>
      <c r="BU33" s="250" t="e">
        <f t="shared" si="77"/>
        <v>#DIV/0!</v>
      </c>
      <c r="BV33" s="250" t="e">
        <f t="shared" si="77"/>
        <v>#DIV/0!</v>
      </c>
      <c r="BW33" s="367" t="e">
        <f t="shared" si="67"/>
        <v>#DIV/0!</v>
      </c>
      <c r="BX33" s="250" t="e">
        <f t="shared" si="77"/>
        <v>#DIV/0!</v>
      </c>
      <c r="BY33" s="250" t="e">
        <f t="shared" si="77"/>
        <v>#DIV/0!</v>
      </c>
      <c r="BZ33" s="250" t="e">
        <f t="shared" si="77"/>
        <v>#DIV/0!</v>
      </c>
      <c r="CA33" s="250" t="e">
        <f t="shared" si="77"/>
        <v>#DIV/0!</v>
      </c>
      <c r="CB33" s="250" t="e">
        <f t="shared" si="77"/>
        <v>#DIV/0!</v>
      </c>
      <c r="CC33" s="250" t="e">
        <f t="shared" si="77"/>
        <v>#DIV/0!</v>
      </c>
      <c r="CD33" s="250" t="e">
        <f t="shared" si="77"/>
        <v>#DIV/0!</v>
      </c>
      <c r="CE33" s="248" t="e">
        <f>SUM(BX33:CD33)</f>
        <v>#DIV/0!</v>
      </c>
      <c r="CF33" s="251" t="e">
        <f>IF($E$64="",-$E$13/$CI$19*CF19,0)</f>
        <v>#DIV/0!</v>
      </c>
      <c r="CG33" s="250" t="e">
        <f t="shared" si="77"/>
        <v>#DIV/0!</v>
      </c>
      <c r="CH33" s="250" t="e">
        <f>IF($E$64="",-$E$13/$CI$19*CH19,0)</f>
        <v>#DIV/0!</v>
      </c>
      <c r="CI33" s="368" t="e">
        <f t="shared" si="68"/>
        <v>#DIV/0!</v>
      </c>
      <c r="CJ33" s="252" t="e">
        <f>IF(CI33=0,0,CI33+E13)</f>
        <v>#DIV/0!</v>
      </c>
      <c r="CK33" s="250"/>
      <c r="CL33" s="250"/>
      <c r="CM33" s="250"/>
      <c r="CN33" s="250"/>
      <c r="CO33" s="250"/>
      <c r="CP33" s="250"/>
      <c r="CQ33" s="250"/>
      <c r="CR33" s="251"/>
      <c r="CS33" s="251"/>
      <c r="CT33" s="251"/>
      <c r="CU33" s="251"/>
      <c r="CV33" s="594"/>
      <c r="CW33" s="579"/>
      <c r="CX33" s="579"/>
      <c r="CY33" s="579"/>
    </row>
    <row r="34" spans="1:103" s="29" customFormat="1">
      <c r="A34" s="114"/>
      <c r="B34" s="107" t="s">
        <v>141</v>
      </c>
      <c r="C34" s="103"/>
      <c r="D34" s="104"/>
      <c r="E34" s="104"/>
      <c r="F34" s="250" t="e">
        <f>IF($E$64="",(F27+F28+F29+F30+F33)*F65,0)</f>
        <v>#DIV/0!</v>
      </c>
      <c r="G34" s="367"/>
      <c r="H34" s="367"/>
      <c r="I34" s="250" t="e">
        <f>IF($E$64="",(I27+I28+I29+I30+I33)*I65,0)</f>
        <v>#DIV/0!</v>
      </c>
      <c r="J34" s="250" t="e">
        <f>IF($E$64="",(J27+J28+J29+J30+J33)*J65,0)</f>
        <v>#DIV/0!</v>
      </c>
      <c r="K34" s="367" t="e">
        <f>SUM(I34+J34)</f>
        <v>#DIV/0!</v>
      </c>
      <c r="L34" s="250" t="e">
        <f>IF($E$64="",(L27+L28+L29+L30+L33)*L65,0)</f>
        <v>#DIV/0!</v>
      </c>
      <c r="M34" s="250" t="e">
        <f>IF($E$64="",(M27+M28+M29+M30+M33)*M65,0)</f>
        <v>#DIV/0!</v>
      </c>
      <c r="N34" s="367" t="e">
        <f>SUM(L34+M34)</f>
        <v>#DIV/0!</v>
      </c>
      <c r="O34" s="250" t="e">
        <f>IF($E$64="",(O27+O28+O29+O30+O33)*O65,0)</f>
        <v>#DIV/0!</v>
      </c>
      <c r="P34" s="250" t="e">
        <f>IF($E$64="",(P27+P28+P29+P30+P33)*P65,0)</f>
        <v>#DIV/0!</v>
      </c>
      <c r="Q34" s="250" t="e">
        <f>IF($E$64="",(Q27+Q28+Q29+Q30+Q33)*Q65,0)</f>
        <v>#DIV/0!</v>
      </c>
      <c r="R34" s="248" t="e">
        <f t="shared" si="66"/>
        <v>#DIV/0!</v>
      </c>
      <c r="S34" s="250" t="e">
        <f t="shared" ref="S34:BE34" si="78">IF($E$64="",(S27+S28+S29+S30+S33)*S65,0)</f>
        <v>#DIV/0!</v>
      </c>
      <c r="T34" s="250" t="e">
        <f t="shared" si="78"/>
        <v>#DIV/0!</v>
      </c>
      <c r="U34" s="250" t="e">
        <f t="shared" si="78"/>
        <v>#DIV/0!</v>
      </c>
      <c r="V34" s="250" t="e">
        <f t="shared" si="78"/>
        <v>#DIV/0!</v>
      </c>
      <c r="W34" s="250" t="e">
        <f t="shared" si="78"/>
        <v>#DIV/0!</v>
      </c>
      <c r="X34" s="250" t="e">
        <f t="shared" si="78"/>
        <v>#DIV/0!</v>
      </c>
      <c r="Y34" s="250" t="e">
        <f t="shared" si="78"/>
        <v>#DIV/0!</v>
      </c>
      <c r="Z34" s="250" t="e">
        <f t="shared" si="78"/>
        <v>#DIV/0!</v>
      </c>
      <c r="AA34" s="250" t="e">
        <f t="shared" si="78"/>
        <v>#DIV/0!</v>
      </c>
      <c r="AB34" s="250" t="e">
        <f t="shared" si="78"/>
        <v>#DIV/0!</v>
      </c>
      <c r="AC34" s="250" t="e">
        <f t="shared" si="78"/>
        <v>#DIV/0!</v>
      </c>
      <c r="AD34" s="250" t="e">
        <f t="shared" si="78"/>
        <v>#DIV/0!</v>
      </c>
      <c r="AE34" s="250" t="e">
        <f t="shared" si="78"/>
        <v>#DIV/0!</v>
      </c>
      <c r="AF34" s="250" t="e">
        <f t="shared" si="78"/>
        <v>#DIV/0!</v>
      </c>
      <c r="AG34" s="250" t="e">
        <f t="shared" si="78"/>
        <v>#DIV/0!</v>
      </c>
      <c r="AH34" s="250" t="e">
        <f t="shared" si="78"/>
        <v>#DIV/0!</v>
      </c>
      <c r="AI34" s="250" t="e">
        <f t="shared" si="78"/>
        <v>#DIV/0!</v>
      </c>
      <c r="AJ34" s="250" t="e">
        <f t="shared" si="78"/>
        <v>#DIV/0!</v>
      </c>
      <c r="AK34" s="250" t="e">
        <f t="shared" si="78"/>
        <v>#DIV/0!</v>
      </c>
      <c r="AL34" s="250" t="e">
        <f t="shared" si="78"/>
        <v>#DIV/0!</v>
      </c>
      <c r="AM34" s="250" t="e">
        <f t="shared" si="78"/>
        <v>#DIV/0!</v>
      </c>
      <c r="AN34" s="250" t="e">
        <f t="shared" si="78"/>
        <v>#DIV/0!</v>
      </c>
      <c r="AO34" s="250" t="e">
        <f t="shared" si="78"/>
        <v>#DIV/0!</v>
      </c>
      <c r="AP34" s="250" t="e">
        <f t="shared" si="78"/>
        <v>#DIV/0!</v>
      </c>
      <c r="AQ34" s="367" t="e">
        <f t="shared" si="78"/>
        <v>#DIV/0!</v>
      </c>
      <c r="AR34" s="367" t="e">
        <f t="shared" si="78"/>
        <v>#DIV/0!</v>
      </c>
      <c r="AS34" s="367" t="e">
        <f t="shared" si="78"/>
        <v>#DIV/0!</v>
      </c>
      <c r="AT34" s="367" t="e">
        <f t="shared" si="78"/>
        <v>#DIV/0!</v>
      </c>
      <c r="AU34" s="367" t="e">
        <f t="shared" si="78"/>
        <v>#DIV/0!</v>
      </c>
      <c r="AV34" s="367" t="e">
        <f t="shared" si="78"/>
        <v>#DIV/0!</v>
      </c>
      <c r="AW34" s="367" t="e">
        <f t="shared" si="78"/>
        <v>#DIV/0!</v>
      </c>
      <c r="AX34" s="367" t="e">
        <f t="shared" si="78"/>
        <v>#DIV/0!</v>
      </c>
      <c r="AY34" s="367" t="e">
        <f t="shared" si="78"/>
        <v>#DIV/0!</v>
      </c>
      <c r="AZ34" s="367" t="e">
        <f t="shared" si="78"/>
        <v>#DIV/0!</v>
      </c>
      <c r="BA34" s="367" t="e">
        <f t="shared" si="78"/>
        <v>#DIV/0!</v>
      </c>
      <c r="BB34" s="367" t="e">
        <f t="shared" si="78"/>
        <v>#DIV/0!</v>
      </c>
      <c r="BC34" s="367" t="e">
        <f t="shared" si="78"/>
        <v>#DIV/0!</v>
      </c>
      <c r="BD34" s="250" t="e">
        <f t="shared" si="78"/>
        <v>#DIV/0!</v>
      </c>
      <c r="BE34" s="250" t="e">
        <f t="shared" si="78"/>
        <v>#DIV/0!</v>
      </c>
      <c r="BF34" s="367" t="e">
        <f>SUM(S34:BE34)</f>
        <v>#DIV/0!</v>
      </c>
      <c r="BG34" s="250" t="e">
        <f t="shared" ref="BG34:BR34" si="79">IF($E$64="",(BG27+BG28+BG29+BG30+BG33)*BG65,0)</f>
        <v>#DIV/0!</v>
      </c>
      <c r="BH34" s="250" t="e">
        <f t="shared" si="79"/>
        <v>#DIV/0!</v>
      </c>
      <c r="BI34" s="250" t="e">
        <f t="shared" si="79"/>
        <v>#DIV/0!</v>
      </c>
      <c r="BJ34" s="250" t="e">
        <f t="shared" si="79"/>
        <v>#DIV/0!</v>
      </c>
      <c r="BK34" s="250" t="e">
        <f t="shared" si="79"/>
        <v>#DIV/0!</v>
      </c>
      <c r="BL34" s="250" t="e">
        <f t="shared" si="79"/>
        <v>#DIV/0!</v>
      </c>
      <c r="BM34" s="250" t="e">
        <f t="shared" si="79"/>
        <v>#DIV/0!</v>
      </c>
      <c r="BN34" s="250" t="e">
        <f t="shared" si="79"/>
        <v>#DIV/0!</v>
      </c>
      <c r="BO34" s="250" t="e">
        <f t="shared" si="79"/>
        <v>#DIV/0!</v>
      </c>
      <c r="BP34" s="250" t="e">
        <f t="shared" si="79"/>
        <v>#DIV/0!</v>
      </c>
      <c r="BQ34" s="250" t="e">
        <f t="shared" si="79"/>
        <v>#DIV/0!</v>
      </c>
      <c r="BR34" s="250" t="e">
        <f t="shared" si="79"/>
        <v>#DIV/0!</v>
      </c>
      <c r="BS34" s="368" t="e">
        <f t="shared" si="4"/>
        <v>#DIV/0!</v>
      </c>
      <c r="BT34" s="250" t="e">
        <f>IF($E$64="",(BT27+BT28+BT29+BT30+BT33)*BT65,0)</f>
        <v>#DIV/0!</v>
      </c>
      <c r="BU34" s="250" t="e">
        <f>IF($E$64="",(BU27+BU28+BU29+BU30+BU33)*BU65,0)</f>
        <v>#DIV/0!</v>
      </c>
      <c r="BV34" s="250" t="e">
        <f>IF($E$64="",(BV27+BV28+BV29+BV30+BV33)*BV65,0)</f>
        <v>#DIV/0!</v>
      </c>
      <c r="BW34" s="367" t="e">
        <f t="shared" si="67"/>
        <v>#DIV/0!</v>
      </c>
      <c r="BX34" s="250" t="e">
        <f t="shared" ref="BX34:CD34" si="80">IF($E$64="",(BX27+BX28+BX29+BX30+BX33)*BX65,0)</f>
        <v>#DIV/0!</v>
      </c>
      <c r="BY34" s="250" t="e">
        <f t="shared" si="80"/>
        <v>#DIV/0!</v>
      </c>
      <c r="BZ34" s="250" t="e">
        <f t="shared" si="80"/>
        <v>#DIV/0!</v>
      </c>
      <c r="CA34" s="250" t="e">
        <f t="shared" si="80"/>
        <v>#DIV/0!</v>
      </c>
      <c r="CB34" s="250" t="e">
        <f t="shared" si="80"/>
        <v>#DIV/0!</v>
      </c>
      <c r="CC34" s="250" t="e">
        <f t="shared" si="80"/>
        <v>#DIV/0!</v>
      </c>
      <c r="CD34" s="250" t="e">
        <f t="shared" si="80"/>
        <v>#DIV/0!</v>
      </c>
      <c r="CE34" s="248" t="e">
        <f>SUM(BX34:CD34)</f>
        <v>#DIV/0!</v>
      </c>
      <c r="CF34" s="250" t="e">
        <f>IF($E$64="",(CF27+CF28+CF29+CF30+CF33)*CF65,0)</f>
        <v>#DIV/0!</v>
      </c>
      <c r="CG34" s="250" t="e">
        <f>IF($E$64="",(CG27+CG28+CG29+CG30+CG33)*CG65,0)</f>
        <v>#DIV/0!</v>
      </c>
      <c r="CH34" s="250" t="e">
        <f>IF($E$64="",(CH27+CH28+CH29+CH30+CH33)*CH65,0)</f>
        <v>#DIV/0!</v>
      </c>
      <c r="CI34" s="367" t="e">
        <f t="shared" si="68"/>
        <v>#DIV/0!</v>
      </c>
      <c r="CJ34" s="250" t="e">
        <f>CI34-IF($E$64="",(CI27+CI28+CI29+CI30+CI33)*CI65,0)</f>
        <v>#DIV/0!</v>
      </c>
      <c r="CK34" s="250"/>
      <c r="CL34" s="250"/>
      <c r="CM34" s="250"/>
      <c r="CN34" s="250"/>
      <c r="CO34" s="250"/>
      <c r="CP34" s="250"/>
      <c r="CQ34" s="250"/>
      <c r="CR34" s="251"/>
      <c r="CS34" s="251"/>
      <c r="CT34" s="251"/>
      <c r="CU34" s="251"/>
      <c r="CV34" s="594"/>
      <c r="CW34" s="601"/>
      <c r="CX34" s="601"/>
      <c r="CY34" s="601"/>
    </row>
    <row r="35" spans="1:103">
      <c r="A35" s="621"/>
      <c r="B35" s="106" t="s">
        <v>98</v>
      </c>
      <c r="C35" s="3"/>
      <c r="D35" s="4"/>
      <c r="E35" s="4"/>
      <c r="F35" s="365" t="e">
        <f>SUM(F27:F34)</f>
        <v>#DIV/0!</v>
      </c>
      <c r="G35" s="378">
        <f>SUM(G27:G34)</f>
        <v>0</v>
      </c>
      <c r="H35" s="365">
        <f>SUM(H27:H34)</f>
        <v>0</v>
      </c>
      <c r="I35" s="365" t="e">
        <f>SUM(I27:I34)</f>
        <v>#DIV/0!</v>
      </c>
      <c r="J35" s="365" t="e">
        <f>SUM(J27:J34)</f>
        <v>#DIV/0!</v>
      </c>
      <c r="K35" s="378" t="e">
        <f>SUM(I35+J35)</f>
        <v>#DIV/0!</v>
      </c>
      <c r="L35" s="365" t="e">
        <f>SUM(L27:L34)</f>
        <v>#DIV/0!</v>
      </c>
      <c r="M35" s="365" t="e">
        <f>SUM(M27:M34)</f>
        <v>#DIV/0!</v>
      </c>
      <c r="N35" s="378" t="e">
        <f>SUM(L35+M35)</f>
        <v>#DIV/0!</v>
      </c>
      <c r="O35" s="365" t="e">
        <f t="shared" ref="O35:AT35" si="81">SUM(O27:O34)</f>
        <v>#DIV/0!</v>
      </c>
      <c r="P35" s="365" t="e">
        <f t="shared" si="81"/>
        <v>#DIV/0!</v>
      </c>
      <c r="Q35" s="365" t="e">
        <f t="shared" si="81"/>
        <v>#DIV/0!</v>
      </c>
      <c r="R35" s="365" t="e">
        <f t="shared" si="81"/>
        <v>#DIV/0!</v>
      </c>
      <c r="S35" s="365" t="e">
        <f t="shared" si="81"/>
        <v>#DIV/0!</v>
      </c>
      <c r="T35" s="365" t="e">
        <f t="shared" si="81"/>
        <v>#DIV/0!</v>
      </c>
      <c r="U35" s="365" t="e">
        <f t="shared" si="81"/>
        <v>#DIV/0!</v>
      </c>
      <c r="V35" s="365" t="e">
        <f t="shared" si="81"/>
        <v>#DIV/0!</v>
      </c>
      <c r="W35" s="365" t="e">
        <f t="shared" si="81"/>
        <v>#DIV/0!</v>
      </c>
      <c r="X35" s="365" t="e">
        <f t="shared" si="81"/>
        <v>#DIV/0!</v>
      </c>
      <c r="Y35" s="365" t="e">
        <f t="shared" si="81"/>
        <v>#DIV/0!</v>
      </c>
      <c r="Z35" s="365" t="e">
        <f t="shared" si="81"/>
        <v>#DIV/0!</v>
      </c>
      <c r="AA35" s="365" t="e">
        <f t="shared" si="81"/>
        <v>#DIV/0!</v>
      </c>
      <c r="AB35" s="365" t="e">
        <f t="shared" si="81"/>
        <v>#DIV/0!</v>
      </c>
      <c r="AC35" s="365" t="e">
        <f t="shared" si="81"/>
        <v>#DIV/0!</v>
      </c>
      <c r="AD35" s="365" t="e">
        <f t="shared" si="81"/>
        <v>#DIV/0!</v>
      </c>
      <c r="AE35" s="365" t="e">
        <f t="shared" si="81"/>
        <v>#DIV/0!</v>
      </c>
      <c r="AF35" s="365" t="e">
        <f t="shared" si="81"/>
        <v>#DIV/0!</v>
      </c>
      <c r="AG35" s="365" t="e">
        <f t="shared" si="81"/>
        <v>#DIV/0!</v>
      </c>
      <c r="AH35" s="365" t="e">
        <f t="shared" si="81"/>
        <v>#DIV/0!</v>
      </c>
      <c r="AI35" s="365" t="e">
        <f t="shared" si="81"/>
        <v>#DIV/0!</v>
      </c>
      <c r="AJ35" s="365" t="e">
        <f t="shared" si="81"/>
        <v>#DIV/0!</v>
      </c>
      <c r="AK35" s="365" t="e">
        <f t="shared" si="81"/>
        <v>#DIV/0!</v>
      </c>
      <c r="AL35" s="365" t="e">
        <f t="shared" si="81"/>
        <v>#DIV/0!</v>
      </c>
      <c r="AM35" s="365" t="e">
        <f t="shared" si="81"/>
        <v>#DIV/0!</v>
      </c>
      <c r="AN35" s="365" t="e">
        <f t="shared" si="81"/>
        <v>#DIV/0!</v>
      </c>
      <c r="AO35" s="365" t="e">
        <f t="shared" si="81"/>
        <v>#DIV/0!</v>
      </c>
      <c r="AP35" s="365" t="e">
        <f t="shared" si="81"/>
        <v>#DIV/0!</v>
      </c>
      <c r="AQ35" s="378" t="e">
        <f t="shared" si="81"/>
        <v>#DIV/0!</v>
      </c>
      <c r="AR35" s="378" t="e">
        <f t="shared" si="81"/>
        <v>#DIV/0!</v>
      </c>
      <c r="AS35" s="378" t="e">
        <f t="shared" si="81"/>
        <v>#DIV/0!</v>
      </c>
      <c r="AT35" s="378" t="e">
        <f t="shared" si="81"/>
        <v>#DIV/0!</v>
      </c>
      <c r="AU35" s="378" t="e">
        <f t="shared" ref="AU35:BZ35" si="82">SUM(AU27:AU34)</f>
        <v>#DIV/0!</v>
      </c>
      <c r="AV35" s="378" t="e">
        <f t="shared" si="82"/>
        <v>#DIV/0!</v>
      </c>
      <c r="AW35" s="378" t="e">
        <f t="shared" si="82"/>
        <v>#DIV/0!</v>
      </c>
      <c r="AX35" s="378" t="e">
        <f t="shared" si="82"/>
        <v>#DIV/0!</v>
      </c>
      <c r="AY35" s="378" t="e">
        <f t="shared" si="82"/>
        <v>#DIV/0!</v>
      </c>
      <c r="AZ35" s="378" t="e">
        <f t="shared" si="82"/>
        <v>#DIV/0!</v>
      </c>
      <c r="BA35" s="378" t="e">
        <f t="shared" si="82"/>
        <v>#DIV/0!</v>
      </c>
      <c r="BB35" s="378" t="e">
        <f t="shared" si="82"/>
        <v>#DIV/0!</v>
      </c>
      <c r="BC35" s="378" t="e">
        <f t="shared" si="82"/>
        <v>#DIV/0!</v>
      </c>
      <c r="BD35" s="365" t="e">
        <f t="shared" si="82"/>
        <v>#DIV/0!</v>
      </c>
      <c r="BE35" s="365" t="e">
        <f t="shared" si="82"/>
        <v>#DIV/0!</v>
      </c>
      <c r="BF35" s="365" t="e">
        <f t="shared" si="82"/>
        <v>#DIV/0!</v>
      </c>
      <c r="BG35" s="365" t="e">
        <f t="shared" si="82"/>
        <v>#DIV/0!</v>
      </c>
      <c r="BH35" s="365" t="e">
        <f t="shared" si="82"/>
        <v>#DIV/0!</v>
      </c>
      <c r="BI35" s="365" t="e">
        <f t="shared" si="82"/>
        <v>#DIV/0!</v>
      </c>
      <c r="BJ35" s="365" t="e">
        <f t="shared" si="82"/>
        <v>#DIV/0!</v>
      </c>
      <c r="BK35" s="365" t="e">
        <f t="shared" si="82"/>
        <v>#DIV/0!</v>
      </c>
      <c r="BL35" s="365" t="e">
        <f t="shared" si="82"/>
        <v>#DIV/0!</v>
      </c>
      <c r="BM35" s="365" t="e">
        <f t="shared" si="82"/>
        <v>#DIV/0!</v>
      </c>
      <c r="BN35" s="365" t="e">
        <f t="shared" si="82"/>
        <v>#DIV/0!</v>
      </c>
      <c r="BO35" s="365" t="e">
        <f t="shared" si="82"/>
        <v>#DIV/0!</v>
      </c>
      <c r="BP35" s="365" t="e">
        <f t="shared" si="82"/>
        <v>#DIV/0!</v>
      </c>
      <c r="BQ35" s="365" t="e">
        <f t="shared" si="82"/>
        <v>#DIV/0!</v>
      </c>
      <c r="BR35" s="365" t="e">
        <f t="shared" si="82"/>
        <v>#DIV/0!</v>
      </c>
      <c r="BS35" s="365" t="e">
        <f t="shared" si="82"/>
        <v>#DIV/0!</v>
      </c>
      <c r="BT35" s="365" t="e">
        <f t="shared" si="82"/>
        <v>#DIV/0!</v>
      </c>
      <c r="BU35" s="365" t="e">
        <f t="shared" si="82"/>
        <v>#DIV/0!</v>
      </c>
      <c r="BV35" s="365" t="e">
        <f t="shared" si="82"/>
        <v>#DIV/0!</v>
      </c>
      <c r="BW35" s="378" t="e">
        <f t="shared" si="82"/>
        <v>#DIV/0!</v>
      </c>
      <c r="BX35" s="365" t="e">
        <f t="shared" si="82"/>
        <v>#DIV/0!</v>
      </c>
      <c r="BY35" s="365" t="e">
        <f t="shared" si="82"/>
        <v>#DIV/0!</v>
      </c>
      <c r="BZ35" s="365" t="e">
        <f t="shared" si="82"/>
        <v>#DIV/0!</v>
      </c>
      <c r="CA35" s="365" t="e">
        <f t="shared" ref="CA35:CU35" si="83">SUM(CA27:CA34)</f>
        <v>#DIV/0!</v>
      </c>
      <c r="CB35" s="365" t="e">
        <f t="shared" si="83"/>
        <v>#DIV/0!</v>
      </c>
      <c r="CC35" s="365" t="e">
        <f t="shared" si="83"/>
        <v>#DIV/0!</v>
      </c>
      <c r="CD35" s="365" t="e">
        <f t="shared" si="83"/>
        <v>#DIV/0!</v>
      </c>
      <c r="CE35" s="365" t="e">
        <f t="shared" si="83"/>
        <v>#DIV/0!</v>
      </c>
      <c r="CF35" s="365" t="e">
        <f t="shared" si="83"/>
        <v>#DIV/0!</v>
      </c>
      <c r="CG35" s="365" t="e">
        <f t="shared" si="83"/>
        <v>#DIV/0!</v>
      </c>
      <c r="CH35" s="365" t="e">
        <f t="shared" si="83"/>
        <v>#DIV/0!</v>
      </c>
      <c r="CI35" s="378" t="e">
        <f t="shared" si="83"/>
        <v>#DIV/0!</v>
      </c>
      <c r="CJ35" s="362" t="e">
        <f t="shared" si="83"/>
        <v>#DIV/0!</v>
      </c>
      <c r="CK35" s="362" t="e">
        <f t="shared" si="83"/>
        <v>#DIV/0!</v>
      </c>
      <c r="CL35" s="362" t="e">
        <f t="shared" si="83"/>
        <v>#DIV/0!</v>
      </c>
      <c r="CM35" s="362" t="e">
        <f t="shared" si="83"/>
        <v>#DIV/0!</v>
      </c>
      <c r="CN35" s="362" t="e">
        <f t="shared" si="83"/>
        <v>#DIV/0!</v>
      </c>
      <c r="CO35" s="362" t="e">
        <f t="shared" si="83"/>
        <v>#DIV/0!</v>
      </c>
      <c r="CP35" s="362" t="e">
        <f t="shared" si="83"/>
        <v>#DIV/0!</v>
      </c>
      <c r="CQ35" s="362" t="e">
        <f t="shared" si="83"/>
        <v>#DIV/0!</v>
      </c>
      <c r="CR35" s="570" t="e">
        <f t="shared" si="83"/>
        <v>#DIV/0!</v>
      </c>
      <c r="CS35" s="570" t="e">
        <f t="shared" si="83"/>
        <v>#DIV/0!</v>
      </c>
      <c r="CT35" s="570" t="e">
        <f t="shared" si="83"/>
        <v>#DIV/0!</v>
      </c>
      <c r="CU35" s="1013" t="e">
        <f t="shared" si="83"/>
        <v>#DIV/0!</v>
      </c>
      <c r="CV35" s="1012" t="e">
        <f>SUM(CK35:CU35)-CH35-'KTR-Ausweis Gesamtansicht'!CV69</f>
        <v>#DIV/0!</v>
      </c>
      <c r="CW35" s="431"/>
      <c r="CX35" s="431"/>
      <c r="CY35" s="431"/>
    </row>
    <row r="36" spans="1:103" ht="12.75" customHeight="1">
      <c r="A36" s="259"/>
      <c r="B36" s="94" t="s">
        <v>2066</v>
      </c>
      <c r="C36" s="353"/>
      <c r="D36" s="357"/>
      <c r="E36" s="357"/>
      <c r="F36" s="363"/>
      <c r="G36" s="379"/>
      <c r="H36" s="363"/>
      <c r="I36" s="1055"/>
      <c r="J36" s="1055"/>
      <c r="K36" s="367">
        <f>SUM(I36:J36)</f>
        <v>0</v>
      </c>
      <c r="L36" s="1055"/>
      <c r="M36" s="1055"/>
      <c r="N36" s="367">
        <f>SUM(L36:M36)</f>
        <v>0</v>
      </c>
      <c r="O36" s="1055"/>
      <c r="P36" s="1055"/>
      <c r="Q36" s="1055"/>
      <c r="R36" s="248">
        <f>K36+N36+O36+P36+Q36</f>
        <v>0</v>
      </c>
      <c r="S36" s="1055"/>
      <c r="T36" s="1055"/>
      <c r="U36" s="1055"/>
      <c r="V36" s="1055"/>
      <c r="W36" s="1055"/>
      <c r="X36" s="1055"/>
      <c r="Y36" s="1055"/>
      <c r="Z36" s="1055"/>
      <c r="AA36" s="1055"/>
      <c r="AB36" s="1055"/>
      <c r="AC36" s="1055"/>
      <c r="AD36" s="1055"/>
      <c r="AE36" s="1055"/>
      <c r="AF36" s="1055"/>
      <c r="AG36" s="1055"/>
      <c r="AH36" s="1055"/>
      <c r="AI36" s="1055"/>
      <c r="AJ36" s="1055"/>
      <c r="AK36" s="1055"/>
      <c r="AL36" s="1055"/>
      <c r="AM36" s="1055"/>
      <c r="AN36" s="1055"/>
      <c r="AO36" s="1055"/>
      <c r="AP36" s="1055"/>
      <c r="AQ36" s="1055"/>
      <c r="AR36" s="1055"/>
      <c r="AS36" s="1055"/>
      <c r="AT36" s="1055"/>
      <c r="AU36" s="1055"/>
      <c r="AV36" s="1055"/>
      <c r="AW36" s="1055"/>
      <c r="AX36" s="1055"/>
      <c r="AY36" s="1055"/>
      <c r="AZ36" s="1055"/>
      <c r="BA36" s="1055"/>
      <c r="BB36" s="1055"/>
      <c r="BC36" s="1055"/>
      <c r="BD36" s="1055"/>
      <c r="BE36" s="1055"/>
      <c r="BF36" s="369">
        <f>SUM(S36:BE36)</f>
        <v>0</v>
      </c>
      <c r="BG36" s="1055"/>
      <c r="BH36" s="1055"/>
      <c r="BI36" s="1055"/>
      <c r="BJ36" s="1055"/>
      <c r="BK36" s="1055"/>
      <c r="BL36" s="1055"/>
      <c r="BM36" s="1055"/>
      <c r="BN36" s="1055"/>
      <c r="BO36" s="1055"/>
      <c r="BP36" s="1055"/>
      <c r="BQ36" s="1055"/>
      <c r="BR36" s="1055"/>
      <c r="BS36" s="368">
        <f>SUM(BG36:BR36)</f>
        <v>0</v>
      </c>
      <c r="BT36" s="1057"/>
      <c r="BU36" s="1057"/>
      <c r="BV36" s="1058"/>
      <c r="BW36" s="766"/>
      <c r="BX36" s="1059"/>
      <c r="BY36" s="1059"/>
      <c r="BZ36" s="1059"/>
      <c r="CA36" s="1059"/>
      <c r="CB36" s="1059"/>
      <c r="CC36" s="1059"/>
      <c r="CD36" s="1059"/>
      <c r="CE36" s="248">
        <f>SUM(BX36:CD36)</f>
        <v>0</v>
      </c>
      <c r="CF36" s="766"/>
      <c r="CG36" s="766"/>
      <c r="CH36" s="766"/>
      <c r="CI36" s="766"/>
      <c r="CJ36" s="766"/>
      <c r="CK36" s="615">
        <f>+C78</f>
        <v>0</v>
      </c>
      <c r="CL36" s="545">
        <f>+C79</f>
        <v>0</v>
      </c>
      <c r="CM36" s="546">
        <f>+C80</f>
        <v>0</v>
      </c>
      <c r="CN36" s="547">
        <f>+C81</f>
        <v>0</v>
      </c>
      <c r="CO36" s="548">
        <f>+C82</f>
        <v>0</v>
      </c>
      <c r="CP36" s="616">
        <f>+C83</f>
        <v>0</v>
      </c>
      <c r="CQ36" s="617">
        <f>+C84</f>
        <v>0</v>
      </c>
      <c r="CR36" s="618">
        <f>+C85</f>
        <v>0</v>
      </c>
      <c r="CS36" s="251">
        <f>+'KTR-Ausweis Gesamtansicht'!CS21</f>
        <v>0</v>
      </c>
      <c r="CT36" s="251">
        <f>+'KTR-Ausweis Gesamtansicht'!CT21</f>
        <v>0</v>
      </c>
      <c r="CU36" s="603">
        <f>+'KTR-Ausweis Gesamtansicht'!CU21</f>
        <v>0</v>
      </c>
      <c r="CV36" s="604">
        <f>SUM(CK36:CR36)-C86</f>
        <v>0</v>
      </c>
      <c r="CW36" s="431"/>
      <c r="CX36" s="431"/>
      <c r="CY36" s="431"/>
    </row>
    <row r="37" spans="1:103">
      <c r="A37" s="259"/>
      <c r="B37" s="274" t="s">
        <v>1346</v>
      </c>
      <c r="C37" s="358"/>
      <c r="D37" s="359"/>
      <c r="E37" s="360"/>
      <c r="F37" s="382"/>
      <c r="G37" s="383"/>
      <c r="H37" s="382"/>
      <c r="I37" s="1056"/>
      <c r="J37" s="1056"/>
      <c r="K37" s="367">
        <f>SUM(I37:J37)</f>
        <v>0</v>
      </c>
      <c r="L37" s="1056"/>
      <c r="M37" s="1056"/>
      <c r="N37" s="367">
        <f>SUM(L37:M37)</f>
        <v>0</v>
      </c>
      <c r="O37" s="1056"/>
      <c r="P37" s="1056"/>
      <c r="Q37" s="1056"/>
      <c r="R37" s="252">
        <f>K37+N37+O37+P37+Q37</f>
        <v>0</v>
      </c>
      <c r="S37" s="1056"/>
      <c r="T37" s="1056"/>
      <c r="U37" s="1056"/>
      <c r="V37" s="1056"/>
      <c r="W37" s="1056"/>
      <c r="X37" s="1056"/>
      <c r="Y37" s="1055"/>
      <c r="Z37" s="1055"/>
      <c r="AA37" s="1056"/>
      <c r="AB37" s="1056"/>
      <c r="AC37" s="1055"/>
      <c r="AD37" s="1055"/>
      <c r="AE37" s="1056"/>
      <c r="AF37" s="1056"/>
      <c r="AG37" s="1055"/>
      <c r="AH37" s="1055"/>
      <c r="AI37" s="1056"/>
      <c r="AJ37" s="1056"/>
      <c r="AK37" s="1055"/>
      <c r="AL37" s="1055"/>
      <c r="AM37" s="1056"/>
      <c r="AN37" s="1056"/>
      <c r="AO37" s="1056"/>
      <c r="AP37" s="1056"/>
      <c r="AQ37" s="1056"/>
      <c r="AR37" s="1056"/>
      <c r="AS37" s="1056"/>
      <c r="AT37" s="1056"/>
      <c r="AU37" s="1056"/>
      <c r="AV37" s="1056"/>
      <c r="AW37" s="1056"/>
      <c r="AX37" s="1056"/>
      <c r="AY37" s="1056"/>
      <c r="AZ37" s="1056"/>
      <c r="BA37" s="1056"/>
      <c r="BB37" s="1056"/>
      <c r="BC37" s="1056"/>
      <c r="BD37" s="1056"/>
      <c r="BE37" s="1056"/>
      <c r="BF37" s="369">
        <f>SUM(S37:BE37)</f>
        <v>0</v>
      </c>
      <c r="BG37" s="1056"/>
      <c r="BH37" s="1056"/>
      <c r="BI37" s="1056"/>
      <c r="BJ37" s="1056"/>
      <c r="BK37" s="1056"/>
      <c r="BL37" s="1056"/>
      <c r="BM37" s="1055"/>
      <c r="BN37" s="1056"/>
      <c r="BO37" s="1055"/>
      <c r="BP37" s="1056"/>
      <c r="BQ37" s="1056"/>
      <c r="BR37" s="1056"/>
      <c r="BS37" s="368">
        <f t="shared" si="4"/>
        <v>0</v>
      </c>
      <c r="BT37" s="1056"/>
      <c r="BU37" s="1056"/>
      <c r="BV37" s="1056"/>
      <c r="BW37" s="384"/>
      <c r="BX37" s="1056"/>
      <c r="BY37" s="1056"/>
      <c r="BZ37" s="1056"/>
      <c r="CA37" s="1056"/>
      <c r="CB37" s="1056"/>
      <c r="CC37" s="1056"/>
      <c r="CD37" s="1056"/>
      <c r="CE37" s="248">
        <f>SUM(BX37:CD37)</f>
        <v>0</v>
      </c>
      <c r="CF37" s="384"/>
      <c r="CG37" s="384"/>
      <c r="CH37" s="384"/>
      <c r="CI37" s="384"/>
      <c r="CJ37" s="384"/>
      <c r="CK37" s="384"/>
      <c r="CL37" s="384"/>
      <c r="CM37" s="384"/>
      <c r="CN37" s="384"/>
      <c r="CO37" s="384"/>
      <c r="CP37" s="384"/>
      <c r="CQ37" s="384"/>
      <c r="CR37" s="384"/>
      <c r="CS37" s="384"/>
      <c r="CT37" s="384"/>
      <c r="CU37" s="384"/>
      <c r="CV37" s="465"/>
      <c r="CW37" s="431"/>
      <c r="CX37" s="431"/>
      <c r="CY37" s="431"/>
    </row>
    <row r="38" spans="1:103">
      <c r="A38" s="259"/>
      <c r="B38" s="274" t="s">
        <v>167</v>
      </c>
      <c r="C38" s="358"/>
      <c r="D38" s="359"/>
      <c r="E38" s="360"/>
      <c r="F38" s="382"/>
      <c r="G38" s="383"/>
      <c r="H38" s="382"/>
      <c r="I38" s="385" t="e">
        <f>IF(I35=0,0,+I36/I37)</f>
        <v>#DIV/0!</v>
      </c>
      <c r="J38" s="385" t="e">
        <f>IF(J35=0,0,+J36/J37)</f>
        <v>#DIV/0!</v>
      </c>
      <c r="K38" s="385" t="e">
        <f>IF(K35=0,0,+K36/K37)</f>
        <v>#DIV/0!</v>
      </c>
      <c r="L38" s="385" t="e">
        <f t="shared" ref="L38:BE38" si="84">IF(L35=0,0,+L36/L37)</f>
        <v>#DIV/0!</v>
      </c>
      <c r="M38" s="385" t="e">
        <f t="shared" si="84"/>
        <v>#DIV/0!</v>
      </c>
      <c r="N38" s="385" t="e">
        <f>IF(N35=0,0,+N36/N37)</f>
        <v>#DIV/0!</v>
      </c>
      <c r="O38" s="385" t="e">
        <f>IF(O35=0,0,+O36/O37)</f>
        <v>#DIV/0!</v>
      </c>
      <c r="P38" s="385" t="e">
        <f t="shared" si="84"/>
        <v>#DIV/0!</v>
      </c>
      <c r="Q38" s="385" t="e">
        <f>IF(Q35=0,0,+Q36/Q37)</f>
        <v>#DIV/0!</v>
      </c>
      <c r="R38" s="385" t="e">
        <f>IF(R35=0,0,+R36/R37)</f>
        <v>#DIV/0!</v>
      </c>
      <c r="S38" s="386" t="e">
        <f t="shared" si="84"/>
        <v>#DIV/0!</v>
      </c>
      <c r="T38" s="386" t="e">
        <f t="shared" si="84"/>
        <v>#DIV/0!</v>
      </c>
      <c r="U38" s="386" t="e">
        <f t="shared" si="84"/>
        <v>#DIV/0!</v>
      </c>
      <c r="V38" s="386" t="e">
        <f t="shared" si="84"/>
        <v>#DIV/0!</v>
      </c>
      <c r="W38" s="386" t="e">
        <f t="shared" si="84"/>
        <v>#DIV/0!</v>
      </c>
      <c r="X38" s="386" t="e">
        <f t="shared" si="84"/>
        <v>#DIV/0!</v>
      </c>
      <c r="Y38" s="386" t="e">
        <f t="shared" si="84"/>
        <v>#DIV/0!</v>
      </c>
      <c r="Z38" s="386" t="e">
        <f t="shared" si="84"/>
        <v>#DIV/0!</v>
      </c>
      <c r="AA38" s="386" t="e">
        <f t="shared" si="84"/>
        <v>#DIV/0!</v>
      </c>
      <c r="AB38" s="386" t="e">
        <f t="shared" si="84"/>
        <v>#DIV/0!</v>
      </c>
      <c r="AC38" s="386" t="e">
        <f t="shared" si="84"/>
        <v>#DIV/0!</v>
      </c>
      <c r="AD38" s="386" t="e">
        <f t="shared" si="84"/>
        <v>#DIV/0!</v>
      </c>
      <c r="AE38" s="386" t="e">
        <f t="shared" si="84"/>
        <v>#DIV/0!</v>
      </c>
      <c r="AF38" s="386" t="e">
        <f t="shared" si="84"/>
        <v>#DIV/0!</v>
      </c>
      <c r="AG38" s="386" t="e">
        <f t="shared" si="84"/>
        <v>#DIV/0!</v>
      </c>
      <c r="AH38" s="386" t="e">
        <f t="shared" si="84"/>
        <v>#DIV/0!</v>
      </c>
      <c r="AI38" s="386" t="e">
        <f t="shared" si="84"/>
        <v>#DIV/0!</v>
      </c>
      <c r="AJ38" s="386" t="e">
        <f t="shared" si="84"/>
        <v>#DIV/0!</v>
      </c>
      <c r="AK38" s="386" t="e">
        <f t="shared" si="84"/>
        <v>#DIV/0!</v>
      </c>
      <c r="AL38" s="386" t="e">
        <f t="shared" si="84"/>
        <v>#DIV/0!</v>
      </c>
      <c r="AM38" s="386" t="e">
        <f t="shared" si="84"/>
        <v>#DIV/0!</v>
      </c>
      <c r="AN38" s="386" t="e">
        <f t="shared" si="84"/>
        <v>#DIV/0!</v>
      </c>
      <c r="AO38" s="386" t="e">
        <f t="shared" si="84"/>
        <v>#DIV/0!</v>
      </c>
      <c r="AP38" s="386" t="e">
        <f t="shared" si="84"/>
        <v>#DIV/0!</v>
      </c>
      <c r="AQ38" s="386" t="e">
        <f t="shared" ref="AQ38:AT38" si="85">IF(AQ35=0,0,+AQ36/AQ37)</f>
        <v>#DIV/0!</v>
      </c>
      <c r="AR38" s="386" t="e">
        <f t="shared" si="85"/>
        <v>#DIV/0!</v>
      </c>
      <c r="AS38" s="386" t="e">
        <f t="shared" si="85"/>
        <v>#DIV/0!</v>
      </c>
      <c r="AT38" s="386" t="e">
        <f t="shared" si="85"/>
        <v>#DIV/0!</v>
      </c>
      <c r="AU38" s="386" t="e">
        <f t="shared" ref="AU38:AX38" si="86">IF(AU35=0,0,+AU36/AU37)</f>
        <v>#DIV/0!</v>
      </c>
      <c r="AV38" s="386" t="e">
        <f t="shared" si="86"/>
        <v>#DIV/0!</v>
      </c>
      <c r="AW38" s="386" t="e">
        <f t="shared" si="86"/>
        <v>#DIV/0!</v>
      </c>
      <c r="AX38" s="386" t="e">
        <f t="shared" si="86"/>
        <v>#DIV/0!</v>
      </c>
      <c r="AY38" s="386" t="e">
        <f t="shared" ref="AY38:BB38" si="87">IF(AY35=0,0,+AY36/AY37)</f>
        <v>#DIV/0!</v>
      </c>
      <c r="AZ38" s="386" t="e">
        <f t="shared" si="87"/>
        <v>#DIV/0!</v>
      </c>
      <c r="BA38" s="386" t="e">
        <f t="shared" si="87"/>
        <v>#DIV/0!</v>
      </c>
      <c r="BB38" s="386" t="e">
        <f t="shared" si="87"/>
        <v>#DIV/0!</v>
      </c>
      <c r="BC38" s="386" t="e">
        <f>IF(BC35=0,0,+BC36/BC37)</f>
        <v>#DIV/0!</v>
      </c>
      <c r="BD38" s="386" t="e">
        <f t="shared" si="84"/>
        <v>#DIV/0!</v>
      </c>
      <c r="BE38" s="386" t="e">
        <f t="shared" si="84"/>
        <v>#DIV/0!</v>
      </c>
      <c r="BF38" s="386" t="e">
        <f>IF(BF35=0,0,+BF36/BF37)</f>
        <v>#DIV/0!</v>
      </c>
      <c r="BG38" s="386" t="e">
        <f>IF(BG35=0,0,+BG36/BG37)</f>
        <v>#DIV/0!</v>
      </c>
      <c r="BH38" s="386" t="e">
        <f t="shared" ref="BH38:BV38" si="88">IF(BH35=0,0,+BH36/BH37)</f>
        <v>#DIV/0!</v>
      </c>
      <c r="BI38" s="386" t="e">
        <f t="shared" si="88"/>
        <v>#DIV/0!</v>
      </c>
      <c r="BJ38" s="386" t="e">
        <f t="shared" si="88"/>
        <v>#DIV/0!</v>
      </c>
      <c r="BK38" s="386" t="e">
        <f t="shared" si="88"/>
        <v>#DIV/0!</v>
      </c>
      <c r="BL38" s="386" t="e">
        <f t="shared" si="88"/>
        <v>#DIV/0!</v>
      </c>
      <c r="BM38" s="386" t="e">
        <f t="shared" si="88"/>
        <v>#DIV/0!</v>
      </c>
      <c r="BN38" s="386" t="e">
        <f t="shared" si="88"/>
        <v>#DIV/0!</v>
      </c>
      <c r="BO38" s="386" t="e">
        <f t="shared" si="88"/>
        <v>#DIV/0!</v>
      </c>
      <c r="BP38" s="386" t="e">
        <f t="shared" si="88"/>
        <v>#DIV/0!</v>
      </c>
      <c r="BQ38" s="386" t="e">
        <f t="shared" si="88"/>
        <v>#DIV/0!</v>
      </c>
      <c r="BR38" s="386" t="e">
        <f t="shared" si="88"/>
        <v>#DIV/0!</v>
      </c>
      <c r="BS38" s="386" t="e">
        <f t="shared" si="88"/>
        <v>#DIV/0!</v>
      </c>
      <c r="BT38" s="386" t="e">
        <f t="shared" si="88"/>
        <v>#DIV/0!</v>
      </c>
      <c r="BU38" s="386" t="e">
        <f t="shared" si="88"/>
        <v>#DIV/0!</v>
      </c>
      <c r="BV38" s="386" t="e">
        <f t="shared" si="88"/>
        <v>#DIV/0!</v>
      </c>
      <c r="BW38" s="384"/>
      <c r="BX38" s="386" t="e">
        <f t="shared" ref="BX38:CE38" si="89">IF(BX35=0,0,+BX36/BX37)</f>
        <v>#DIV/0!</v>
      </c>
      <c r="BY38" s="386" t="e">
        <f t="shared" si="89"/>
        <v>#DIV/0!</v>
      </c>
      <c r="BZ38" s="386" t="e">
        <f t="shared" si="89"/>
        <v>#DIV/0!</v>
      </c>
      <c r="CA38" s="386" t="e">
        <f t="shared" si="89"/>
        <v>#DIV/0!</v>
      </c>
      <c r="CB38" s="386" t="e">
        <f t="shared" si="89"/>
        <v>#DIV/0!</v>
      </c>
      <c r="CC38" s="386" t="e">
        <f t="shared" si="89"/>
        <v>#DIV/0!</v>
      </c>
      <c r="CD38" s="386" t="e">
        <f t="shared" si="89"/>
        <v>#DIV/0!</v>
      </c>
      <c r="CE38" s="386" t="e">
        <f t="shared" si="89"/>
        <v>#DIV/0!</v>
      </c>
      <c r="CF38" s="384"/>
      <c r="CG38" s="384"/>
      <c r="CH38" s="384"/>
      <c r="CI38" s="384"/>
      <c r="CJ38" s="384"/>
      <c r="CK38" s="384"/>
      <c r="CL38" s="384"/>
      <c r="CM38" s="384"/>
      <c r="CN38" s="384"/>
      <c r="CO38" s="384"/>
      <c r="CP38" s="384"/>
      <c r="CQ38" s="384"/>
      <c r="CR38" s="384"/>
      <c r="CS38" s="384"/>
      <c r="CT38" s="384"/>
      <c r="CU38" s="384"/>
      <c r="CV38" s="465"/>
      <c r="CW38" s="431"/>
      <c r="CX38" s="431"/>
      <c r="CY38" s="431"/>
    </row>
    <row r="39" spans="1:103">
      <c r="A39" s="176"/>
      <c r="B39" s="107" t="s">
        <v>113</v>
      </c>
      <c r="C39" s="103"/>
      <c r="D39" s="104"/>
      <c r="E39" s="104"/>
      <c r="F39" s="252"/>
      <c r="G39" s="369"/>
      <c r="H39" s="252"/>
      <c r="I39" s="252" t="e">
        <f>IF(I35=0,0,+I35/I36)</f>
        <v>#DIV/0!</v>
      </c>
      <c r="J39" s="252" t="e">
        <f>IF(J35=0,0,+J35/J36)</f>
        <v>#DIV/0!</v>
      </c>
      <c r="K39" s="369" t="e">
        <f>IF(K35=0,0,+K35/K36)</f>
        <v>#DIV/0!</v>
      </c>
      <c r="L39" s="252" t="e">
        <f t="shared" ref="L39:BE39" si="90">IF(L35=0,0,+L35/L36)</f>
        <v>#DIV/0!</v>
      </c>
      <c r="M39" s="252" t="e">
        <f t="shared" si="90"/>
        <v>#DIV/0!</v>
      </c>
      <c r="N39" s="369" t="e">
        <f>IF(N35=0,0,+N35/N36)</f>
        <v>#DIV/0!</v>
      </c>
      <c r="O39" s="252" t="e">
        <f>IF(O35=0,0,+O35/O36)</f>
        <v>#DIV/0!</v>
      </c>
      <c r="P39" s="252" t="e">
        <f>IF(P35=0,0,+P35/P36)</f>
        <v>#DIV/0!</v>
      </c>
      <c r="Q39" s="252" t="e">
        <f>IF(Q35=0,0,+Q35/Q36)</f>
        <v>#DIV/0!</v>
      </c>
      <c r="R39" s="252" t="e">
        <f>IF(R35=0,0,+R35/R36)</f>
        <v>#DIV/0!</v>
      </c>
      <c r="S39" s="252" t="e">
        <f t="shared" si="90"/>
        <v>#DIV/0!</v>
      </c>
      <c r="T39" s="252" t="e">
        <f t="shared" si="90"/>
        <v>#DIV/0!</v>
      </c>
      <c r="U39" s="252" t="e">
        <f t="shared" si="90"/>
        <v>#DIV/0!</v>
      </c>
      <c r="V39" s="252" t="e">
        <f t="shared" si="90"/>
        <v>#DIV/0!</v>
      </c>
      <c r="W39" s="252" t="e">
        <f t="shared" si="90"/>
        <v>#DIV/0!</v>
      </c>
      <c r="X39" s="252" t="e">
        <f t="shared" si="90"/>
        <v>#DIV/0!</v>
      </c>
      <c r="Y39" s="252" t="e">
        <f t="shared" si="90"/>
        <v>#DIV/0!</v>
      </c>
      <c r="Z39" s="252" t="e">
        <f t="shared" si="90"/>
        <v>#DIV/0!</v>
      </c>
      <c r="AA39" s="252" t="e">
        <f t="shared" si="90"/>
        <v>#DIV/0!</v>
      </c>
      <c r="AB39" s="252" t="e">
        <f t="shared" si="90"/>
        <v>#DIV/0!</v>
      </c>
      <c r="AC39" s="252" t="e">
        <f t="shared" si="90"/>
        <v>#DIV/0!</v>
      </c>
      <c r="AD39" s="252" t="e">
        <f t="shared" si="90"/>
        <v>#DIV/0!</v>
      </c>
      <c r="AE39" s="252" t="e">
        <f t="shared" si="90"/>
        <v>#DIV/0!</v>
      </c>
      <c r="AF39" s="252" t="e">
        <f t="shared" si="90"/>
        <v>#DIV/0!</v>
      </c>
      <c r="AG39" s="252" t="e">
        <f t="shared" si="90"/>
        <v>#DIV/0!</v>
      </c>
      <c r="AH39" s="252" t="e">
        <f t="shared" si="90"/>
        <v>#DIV/0!</v>
      </c>
      <c r="AI39" s="252" t="e">
        <f t="shared" si="90"/>
        <v>#DIV/0!</v>
      </c>
      <c r="AJ39" s="252" t="e">
        <f t="shared" si="90"/>
        <v>#DIV/0!</v>
      </c>
      <c r="AK39" s="252" t="e">
        <f t="shared" si="90"/>
        <v>#DIV/0!</v>
      </c>
      <c r="AL39" s="252" t="e">
        <f t="shared" si="90"/>
        <v>#DIV/0!</v>
      </c>
      <c r="AM39" s="252" t="e">
        <f t="shared" si="90"/>
        <v>#DIV/0!</v>
      </c>
      <c r="AN39" s="252" t="e">
        <f t="shared" si="90"/>
        <v>#DIV/0!</v>
      </c>
      <c r="AO39" s="252" t="e">
        <f t="shared" si="90"/>
        <v>#DIV/0!</v>
      </c>
      <c r="AP39" s="252" t="e">
        <f t="shared" si="90"/>
        <v>#DIV/0!</v>
      </c>
      <c r="AQ39" s="369" t="e">
        <f t="shared" ref="AQ39:AT39" si="91">IF(AQ35=0,0,+AQ35/AQ36)</f>
        <v>#DIV/0!</v>
      </c>
      <c r="AR39" s="369" t="e">
        <f t="shared" si="91"/>
        <v>#DIV/0!</v>
      </c>
      <c r="AS39" s="369" t="e">
        <f t="shared" si="91"/>
        <v>#DIV/0!</v>
      </c>
      <c r="AT39" s="369" t="e">
        <f t="shared" si="91"/>
        <v>#DIV/0!</v>
      </c>
      <c r="AU39" s="369" t="e">
        <f t="shared" ref="AU39:AX39" si="92">IF(AU35=0,0,+AU35/AU36)</f>
        <v>#DIV/0!</v>
      </c>
      <c r="AV39" s="369" t="e">
        <f t="shared" si="92"/>
        <v>#DIV/0!</v>
      </c>
      <c r="AW39" s="369" t="e">
        <f t="shared" si="92"/>
        <v>#DIV/0!</v>
      </c>
      <c r="AX39" s="369" t="e">
        <f t="shared" si="92"/>
        <v>#DIV/0!</v>
      </c>
      <c r="AY39" s="369" t="e">
        <f t="shared" ref="AY39:BB39" si="93">IF(AY35=0,0,+AY35/AY36)</f>
        <v>#DIV/0!</v>
      </c>
      <c r="AZ39" s="369" t="e">
        <f t="shared" si="93"/>
        <v>#DIV/0!</v>
      </c>
      <c r="BA39" s="369" t="e">
        <f t="shared" si="93"/>
        <v>#DIV/0!</v>
      </c>
      <c r="BB39" s="369" t="e">
        <f t="shared" si="93"/>
        <v>#DIV/0!</v>
      </c>
      <c r="BC39" s="369" t="e">
        <f>IF(BC35=0,0,+BC35/BC36)</f>
        <v>#DIV/0!</v>
      </c>
      <c r="BD39" s="252" t="e">
        <f t="shared" si="90"/>
        <v>#DIV/0!</v>
      </c>
      <c r="BE39" s="252" t="e">
        <f t="shared" si="90"/>
        <v>#DIV/0!</v>
      </c>
      <c r="BF39" s="252" t="e">
        <f>IF(BF35=0,0,+BF35/BF36)</f>
        <v>#DIV/0!</v>
      </c>
      <c r="BG39" s="252" t="e">
        <f t="shared" ref="BG39:BV39" si="94">IF(BG35=0,0,+BG35/BG36)</f>
        <v>#DIV/0!</v>
      </c>
      <c r="BH39" s="252" t="e">
        <f t="shared" si="94"/>
        <v>#DIV/0!</v>
      </c>
      <c r="BI39" s="252" t="e">
        <f t="shared" si="94"/>
        <v>#DIV/0!</v>
      </c>
      <c r="BJ39" s="252" t="e">
        <f t="shared" si="94"/>
        <v>#DIV/0!</v>
      </c>
      <c r="BK39" s="252" t="e">
        <f t="shared" si="94"/>
        <v>#DIV/0!</v>
      </c>
      <c r="BL39" s="252" t="e">
        <f t="shared" si="94"/>
        <v>#DIV/0!</v>
      </c>
      <c r="BM39" s="252" t="e">
        <f t="shared" si="94"/>
        <v>#DIV/0!</v>
      </c>
      <c r="BN39" s="252" t="e">
        <f t="shared" si="94"/>
        <v>#DIV/0!</v>
      </c>
      <c r="BO39" s="252" t="e">
        <f t="shared" si="94"/>
        <v>#DIV/0!</v>
      </c>
      <c r="BP39" s="252" t="e">
        <f t="shared" si="94"/>
        <v>#DIV/0!</v>
      </c>
      <c r="BQ39" s="252" t="e">
        <f t="shared" si="94"/>
        <v>#DIV/0!</v>
      </c>
      <c r="BR39" s="252" t="e">
        <f t="shared" si="94"/>
        <v>#DIV/0!</v>
      </c>
      <c r="BS39" s="252" t="e">
        <f t="shared" si="94"/>
        <v>#DIV/0!</v>
      </c>
      <c r="BT39" s="252" t="e">
        <f t="shared" si="94"/>
        <v>#DIV/0!</v>
      </c>
      <c r="BU39" s="252" t="e">
        <f t="shared" si="94"/>
        <v>#DIV/0!</v>
      </c>
      <c r="BV39" s="252" t="e">
        <f t="shared" si="94"/>
        <v>#DIV/0!</v>
      </c>
      <c r="BW39" s="581"/>
      <c r="BX39" s="252" t="e">
        <f t="shared" ref="BX39:CE39" si="95">IF(BX35=0,0,+BX35/BX36)</f>
        <v>#DIV/0!</v>
      </c>
      <c r="BY39" s="252" t="e">
        <f t="shared" si="95"/>
        <v>#DIV/0!</v>
      </c>
      <c r="BZ39" s="252" t="e">
        <f t="shared" si="95"/>
        <v>#DIV/0!</v>
      </c>
      <c r="CA39" s="252" t="e">
        <f t="shared" si="95"/>
        <v>#DIV/0!</v>
      </c>
      <c r="CB39" s="252" t="e">
        <f t="shared" si="95"/>
        <v>#DIV/0!</v>
      </c>
      <c r="CC39" s="252" t="e">
        <f t="shared" si="95"/>
        <v>#DIV/0!</v>
      </c>
      <c r="CD39" s="252" t="e">
        <f t="shared" si="95"/>
        <v>#DIV/0!</v>
      </c>
      <c r="CE39" s="252" t="e">
        <f t="shared" si="95"/>
        <v>#DIV/0!</v>
      </c>
      <c r="CF39" s="581"/>
      <c r="CG39" s="581"/>
      <c r="CH39" s="581"/>
      <c r="CI39" s="581"/>
      <c r="CJ39" s="581"/>
      <c r="CK39" s="581"/>
      <c r="CL39" s="581"/>
      <c r="CM39" s="581"/>
      <c r="CN39" s="581"/>
      <c r="CO39" s="581"/>
      <c r="CP39" s="581"/>
      <c r="CQ39" s="581"/>
      <c r="CR39" s="581"/>
      <c r="CS39" s="581"/>
      <c r="CT39" s="581"/>
      <c r="CU39" s="581"/>
      <c r="CV39" s="415"/>
      <c r="CW39" s="431"/>
      <c r="CX39" s="431"/>
      <c r="CY39" s="431"/>
    </row>
    <row r="40" spans="1:103" s="2" customFormat="1" ht="12.75" customHeight="1" thickBot="1">
      <c r="B40" s="893" t="s">
        <v>114</v>
      </c>
      <c r="C40" s="719"/>
      <c r="D40" s="720"/>
      <c r="E40" s="720"/>
      <c r="F40" s="389"/>
      <c r="G40" s="390"/>
      <c r="H40" s="390"/>
      <c r="I40" s="746"/>
      <c r="J40" s="747"/>
      <c r="K40" s="784" t="e">
        <f>IF(K35=0,0,+K35/K36)</f>
        <v>#DIV/0!</v>
      </c>
      <c r="L40" s="394"/>
      <c r="M40" s="749"/>
      <c r="N40" s="784" t="e">
        <f>IF(N35=0,0,+N35/N36)</f>
        <v>#DIV/0!</v>
      </c>
      <c r="O40" s="784" t="e">
        <f>IF(R35=0,0,+O35/O36)</f>
        <v>#DIV/0!</v>
      </c>
      <c r="P40" s="391"/>
      <c r="Q40" s="784" t="e">
        <f>IF(P35=0,0,+(P35+Q35)/(P36+Q36))</f>
        <v>#DIV/0!</v>
      </c>
      <c r="R40" s="784" t="e">
        <f>IF(R35=0,0,+R35/R36)</f>
        <v>#DIV/0!</v>
      </c>
      <c r="S40" s="391"/>
      <c r="T40" s="784" t="e">
        <f>IF(S35=0,0,+(S35+T35)/(S36+T36))</f>
        <v>#DIV/0!</v>
      </c>
      <c r="U40" s="391"/>
      <c r="V40" s="784" t="e">
        <f>IF(U35=0,0,+(U35+V35)/(U36+V36))</f>
        <v>#DIV/0!</v>
      </c>
      <c r="W40" s="391"/>
      <c r="X40" s="784" t="e">
        <f>IF(W35=0,0,+(W35+X35)/(W36+X36))</f>
        <v>#DIV/0!</v>
      </c>
      <c r="Y40" s="391"/>
      <c r="Z40" s="784" t="e">
        <f>IF(Y35=0,0,+(Y35+Z35)/(Y36+Z36))</f>
        <v>#DIV/0!</v>
      </c>
      <c r="AA40" s="391"/>
      <c r="AB40" s="784" t="e">
        <f>IF(AA35=0,0,+(AA35+AB35)/(AA36+AB36))</f>
        <v>#DIV/0!</v>
      </c>
      <c r="AC40" s="391"/>
      <c r="AD40" s="784" t="e">
        <f>IF(AC35=0,0,+(AC35+AD35)/(AC36+AD36))</f>
        <v>#DIV/0!</v>
      </c>
      <c r="AE40" s="391"/>
      <c r="AF40" s="784" t="e">
        <f>IF(AE35=0,0,+(AE35+AF35)/(AE36+AF36))</f>
        <v>#DIV/0!</v>
      </c>
      <c r="AG40" s="391"/>
      <c r="AH40" s="784" t="e">
        <f>IF(AG35=0,0,+(AG35+AH35)/(AG36+AH36))</f>
        <v>#DIV/0!</v>
      </c>
      <c r="AI40" s="391"/>
      <c r="AJ40" s="784" t="e">
        <f>IF(AI35=0,0,+(AI35+AJ35)/(AI36+AJ36))</f>
        <v>#DIV/0!</v>
      </c>
      <c r="AK40" s="391"/>
      <c r="AL40" s="784" t="e">
        <f>IF(AK35=0,0,+(AK35+AL35)/(AK36+AL36))</f>
        <v>#DIV/0!</v>
      </c>
      <c r="AM40" s="391"/>
      <c r="AN40" s="784" t="e">
        <f>IF(AM35=0,0,+(AM35+AN35)/(AM36+AN36))</f>
        <v>#DIV/0!</v>
      </c>
      <c r="AO40" s="391"/>
      <c r="AP40" s="784" t="e">
        <f>IF(AO35=0,0,+(AO35+AP35)/(AO36+AP36))</f>
        <v>#DIV/0!</v>
      </c>
      <c r="AQ40" s="391"/>
      <c r="AR40" s="784" t="e">
        <f t="shared" ref="AR40" si="96">IF(AQ35=0,0,+(AQ35+AR35)/(AQ36+AR36))</f>
        <v>#DIV/0!</v>
      </c>
      <c r="AS40" s="391"/>
      <c r="AT40" s="784" t="e">
        <f t="shared" ref="AT40" si="97">IF(AS35=0,0,+(AS35+AT35)/(AS36+AT36))</f>
        <v>#DIV/0!</v>
      </c>
      <c r="AU40" s="391"/>
      <c r="AV40" s="784" t="e">
        <f>IF(AU35=0,0,+(AU35+AV35)/(AU36+AV36))</f>
        <v>#DIV/0!</v>
      </c>
      <c r="AW40" s="391"/>
      <c r="AX40" s="784" t="e">
        <f t="shared" ref="AX40" si="98">IF(AW35=0,0,+(AW35+AX35)/(AW36+AX36))</f>
        <v>#DIV/0!</v>
      </c>
      <c r="AY40" s="391"/>
      <c r="AZ40" s="784" t="e">
        <f t="shared" ref="AZ40" si="99">IF(AY35=0,0,+(AY35+AZ35)/(AY36+AZ36))</f>
        <v>#DIV/0!</v>
      </c>
      <c r="BA40" s="391"/>
      <c r="BB40" s="784" t="e">
        <f t="shared" ref="BB40" si="100">IF(BA35=0,0,+(BA35+BB35)/(BA36+BB36))</f>
        <v>#DIV/0!</v>
      </c>
      <c r="BC40" s="784" t="e">
        <f>IF(BF35=0,0,+BC35/BC36)</f>
        <v>#DIV/0!</v>
      </c>
      <c r="BD40" s="391"/>
      <c r="BE40" s="784" t="e">
        <f>IF(BD35=0,0,+(BD35+BE35)/(BD36+BE36))</f>
        <v>#DIV/0!</v>
      </c>
      <c r="BF40" s="784" t="e">
        <f>IF(BF35=0,0,+BF35/BF36)</f>
        <v>#DIV/0!</v>
      </c>
      <c r="BG40" s="391"/>
      <c r="BH40" s="784" t="e">
        <f>IF(BG35=0,0,+(BG35+BH35)/(BG36+BH36))</f>
        <v>#DIV/0!</v>
      </c>
      <c r="BI40" s="391"/>
      <c r="BJ40" s="784" t="e">
        <f>IF(BI35=0,0,+(BI35+BJ35)/(BI36+BJ36))</f>
        <v>#DIV/0!</v>
      </c>
      <c r="BK40" s="784" t="e">
        <f>IF(BK35=0,0,+BK35/BK36)</f>
        <v>#DIV/0!</v>
      </c>
      <c r="BL40" s="391"/>
      <c r="BM40" s="784" t="e">
        <f>IF(BL35=0,0,+(BL35+BM35)/(BL36+BM36))</f>
        <v>#DIV/0!</v>
      </c>
      <c r="BN40" s="391"/>
      <c r="BO40" s="784" t="e">
        <f>IF(BN35=0,0,+(BN35+BO35)/(BN36+BO36))</f>
        <v>#DIV/0!</v>
      </c>
      <c r="BP40" s="784" t="e">
        <f>IF(BP35=0,0,+BP35/BP36)</f>
        <v>#DIV/0!</v>
      </c>
      <c r="BQ40" s="391"/>
      <c r="BR40" s="784" t="e">
        <f>IF(BQ35=0,0,+(BQ35+BR35)/(BQ36+BR36))</f>
        <v>#DIV/0!</v>
      </c>
      <c r="BS40" s="784" t="e">
        <f>IF(BS35=0,0,+BS35/BS36)</f>
        <v>#DIV/0!</v>
      </c>
      <c r="BT40" s="784" t="e">
        <f>IF(BT35=0,0,+BT35/BT36)</f>
        <v>#DIV/0!</v>
      </c>
      <c r="BU40" s="784" t="e">
        <f>IF(BU35=0,0,+BU35/BU36)</f>
        <v>#DIV/0!</v>
      </c>
      <c r="BV40" s="784" t="e">
        <f>IF(BV35=0,0,+BV35/BV36)</f>
        <v>#DIV/0!</v>
      </c>
      <c r="BW40" s="395"/>
      <c r="BX40" s="784" t="e">
        <f t="shared" ref="BX40:CE40" si="101">IF(BX35=0,0,+BX35/BX36)</f>
        <v>#DIV/0!</v>
      </c>
      <c r="BY40" s="784" t="e">
        <f t="shared" si="101"/>
        <v>#DIV/0!</v>
      </c>
      <c r="BZ40" s="784" t="e">
        <f t="shared" si="101"/>
        <v>#DIV/0!</v>
      </c>
      <c r="CA40" s="784" t="e">
        <f t="shared" si="101"/>
        <v>#DIV/0!</v>
      </c>
      <c r="CB40" s="784" t="e">
        <f t="shared" si="101"/>
        <v>#DIV/0!</v>
      </c>
      <c r="CC40" s="784" t="e">
        <f t="shared" si="101"/>
        <v>#DIV/0!</v>
      </c>
      <c r="CD40" s="784" t="e">
        <f t="shared" si="101"/>
        <v>#DIV/0!</v>
      </c>
      <c r="CE40" s="784" t="e">
        <f t="shared" si="101"/>
        <v>#DIV/0!</v>
      </c>
      <c r="CF40" s="395"/>
      <c r="CG40" s="395"/>
      <c r="CH40" s="395"/>
      <c r="CI40" s="395"/>
      <c r="CJ40" s="395"/>
      <c r="CK40" s="395"/>
      <c r="CL40" s="395"/>
      <c r="CM40" s="395"/>
      <c r="CN40" s="395"/>
      <c r="CO40" s="395"/>
      <c r="CP40" s="395"/>
      <c r="CQ40" s="395"/>
      <c r="CR40" s="395"/>
      <c r="CS40" s="395"/>
      <c r="CT40" s="395"/>
      <c r="CU40" s="468"/>
      <c r="CV40" s="468"/>
      <c r="CW40" s="599"/>
      <c r="CX40" s="599"/>
      <c r="CY40" s="599"/>
    </row>
    <row r="41" spans="1:103" s="29" customFormat="1" ht="12.75" customHeight="1">
      <c r="A41" s="890"/>
      <c r="B41" s="160" t="str">
        <f>IF('KTR-Ausweis Gesamtansicht'!C69="REKOLE","Anlagenutzungskosten REKOLE","Anlagenutzungskosten VKL")</f>
        <v>Anlagenutzungskosten REKOLE</v>
      </c>
      <c r="C41" s="171"/>
      <c r="D41" s="171"/>
      <c r="E41" s="533"/>
      <c r="F41" s="390"/>
      <c r="G41" s="390"/>
      <c r="H41" s="390"/>
      <c r="I41" s="395"/>
      <c r="J41" s="136"/>
      <c r="K41" s="377">
        <f>K21*-1</f>
        <v>0</v>
      </c>
      <c r="L41" s="394"/>
      <c r="M41" s="750"/>
      <c r="N41" s="377">
        <f>N21*-1</f>
        <v>0</v>
      </c>
      <c r="O41" s="377">
        <f>O21*-1</f>
        <v>0</v>
      </c>
      <c r="P41" s="395"/>
      <c r="Q41" s="377">
        <f>(Q21+P21)*-1</f>
        <v>0</v>
      </c>
      <c r="R41" s="377">
        <f>R21*-1</f>
        <v>0</v>
      </c>
      <c r="S41" s="764"/>
      <c r="T41" s="377">
        <f>(T21+S21)*-1</f>
        <v>0</v>
      </c>
      <c r="U41" s="395"/>
      <c r="V41" s="377">
        <f>(V21+U21)*-1</f>
        <v>0</v>
      </c>
      <c r="W41" s="395"/>
      <c r="X41" s="377">
        <f>(X21+W21)*-1</f>
        <v>0</v>
      </c>
      <c r="Y41" s="395"/>
      <c r="Z41" s="377">
        <f>(Z21+Y21)*-1</f>
        <v>0</v>
      </c>
      <c r="AA41" s="395"/>
      <c r="AB41" s="377">
        <f>(AB21+AA21)*-1</f>
        <v>0</v>
      </c>
      <c r="AC41" s="395"/>
      <c r="AD41" s="377">
        <f>(AD21+AC21)*-1</f>
        <v>0</v>
      </c>
      <c r="AE41" s="395"/>
      <c r="AF41" s="377">
        <f>(AF21+AE21)*-1</f>
        <v>0</v>
      </c>
      <c r="AG41" s="395"/>
      <c r="AH41" s="377">
        <f>(AH21+AG21)*-1</f>
        <v>0</v>
      </c>
      <c r="AI41" s="395"/>
      <c r="AJ41" s="377">
        <f>(AJ21+AI21)*-1</f>
        <v>0</v>
      </c>
      <c r="AK41" s="395"/>
      <c r="AL41" s="377">
        <f>(AL21+AK21)*-1</f>
        <v>0</v>
      </c>
      <c r="AM41" s="395"/>
      <c r="AN41" s="377">
        <f>(AN21+AM21)*-1</f>
        <v>0</v>
      </c>
      <c r="AO41" s="395"/>
      <c r="AP41" s="377">
        <f>(AP21+AO21)*-1</f>
        <v>0</v>
      </c>
      <c r="AQ41" s="395"/>
      <c r="AR41" s="377">
        <f>(AR21+AQ21)*-1</f>
        <v>0</v>
      </c>
      <c r="AS41" s="395"/>
      <c r="AT41" s="377">
        <f>(AT21+AS21)*-1</f>
        <v>0</v>
      </c>
      <c r="AU41" s="395"/>
      <c r="AV41" s="377">
        <f>(AV21+AU21)*-1</f>
        <v>0</v>
      </c>
      <c r="AW41" s="395"/>
      <c r="AX41" s="377">
        <f>(AX21+AW21)*-1</f>
        <v>0</v>
      </c>
      <c r="AY41" s="395"/>
      <c r="AZ41" s="377">
        <f>(AZ21+AY21)*-1</f>
        <v>0</v>
      </c>
      <c r="BA41" s="395"/>
      <c r="BB41" s="377">
        <f>(BB21+BA21)*-1</f>
        <v>0</v>
      </c>
      <c r="BC41" s="377">
        <f>BC21*-1</f>
        <v>0</v>
      </c>
      <c r="BD41" s="395"/>
      <c r="BE41" s="377">
        <f>(BE21+BD21)*-1</f>
        <v>0</v>
      </c>
      <c r="BF41" s="377">
        <f>BF21*-1</f>
        <v>0</v>
      </c>
      <c r="BG41" s="395"/>
      <c r="BH41" s="377">
        <f>(BH21+BG21)*-1</f>
        <v>0</v>
      </c>
      <c r="BI41" s="395"/>
      <c r="BJ41" s="377">
        <f>(BJ21+BI21)*-1</f>
        <v>0</v>
      </c>
      <c r="BK41" s="377">
        <f>(BK21)*-1</f>
        <v>0</v>
      </c>
      <c r="BL41" s="395"/>
      <c r="BM41" s="377">
        <f>(BM21+BL21)*-1</f>
        <v>0</v>
      </c>
      <c r="BN41" s="395"/>
      <c r="BO41" s="377">
        <f>(BO21+BN21)*-1</f>
        <v>0</v>
      </c>
      <c r="BP41" s="377">
        <f>BP21*-1</f>
        <v>0</v>
      </c>
      <c r="BQ41" s="395"/>
      <c r="BR41" s="377">
        <f>(BR21+BQ21)*-1</f>
        <v>0</v>
      </c>
      <c r="BS41" s="377">
        <f>BS21*-1</f>
        <v>0</v>
      </c>
      <c r="BT41" s="377">
        <f>BT21*-1</f>
        <v>0</v>
      </c>
      <c r="BU41" s="377">
        <f>BU21*-1</f>
        <v>0</v>
      </c>
      <c r="BV41" s="377">
        <f>BV21*-1</f>
        <v>0</v>
      </c>
      <c r="BW41" s="395"/>
      <c r="BX41" s="377">
        <f t="shared" ref="BX41:CD41" si="102">BX21*-1</f>
        <v>0</v>
      </c>
      <c r="BY41" s="377">
        <f t="shared" si="102"/>
        <v>0</v>
      </c>
      <c r="BZ41" s="377">
        <f t="shared" si="102"/>
        <v>0</v>
      </c>
      <c r="CA41" s="377">
        <f t="shared" si="102"/>
        <v>0</v>
      </c>
      <c r="CB41" s="377">
        <f t="shared" si="102"/>
        <v>0</v>
      </c>
      <c r="CC41" s="377">
        <f t="shared" si="102"/>
        <v>0</v>
      </c>
      <c r="CD41" s="377">
        <f t="shared" si="102"/>
        <v>0</v>
      </c>
      <c r="CE41" s="377">
        <f>CE21*-1</f>
        <v>0</v>
      </c>
      <c r="CF41" s="395"/>
      <c r="CG41" s="395"/>
      <c r="CH41" s="395"/>
      <c r="CI41" s="395"/>
      <c r="CJ41" s="395"/>
      <c r="CK41" s="367">
        <f>'KTR-Ausweis Gesamtansicht'!CK69</f>
        <v>0</v>
      </c>
      <c r="CL41" s="367">
        <f>'KTR-Ausweis Gesamtansicht'!CL69</f>
        <v>0</v>
      </c>
      <c r="CM41" s="367">
        <f>'KTR-Ausweis Gesamtansicht'!CM69</f>
        <v>0</v>
      </c>
      <c r="CN41" s="367">
        <f>'KTR-Ausweis Gesamtansicht'!CN69</f>
        <v>0</v>
      </c>
      <c r="CO41" s="367">
        <f>'KTR-Ausweis Gesamtansicht'!CO69</f>
        <v>0</v>
      </c>
      <c r="CP41" s="367">
        <f>'KTR-Ausweis Gesamtansicht'!CP69</f>
        <v>0</v>
      </c>
      <c r="CQ41" s="367">
        <f>'KTR-Ausweis Gesamtansicht'!CQ69</f>
        <v>0</v>
      </c>
      <c r="CR41" s="367">
        <f>'KTR-Ausweis Gesamtansicht'!CR69</f>
        <v>0</v>
      </c>
      <c r="CS41" s="367">
        <f>'KTR-Ausweis Gesamtansicht'!CS69</f>
        <v>0</v>
      </c>
      <c r="CT41" s="367">
        <f>'KTR-Ausweis Gesamtansicht'!CT69</f>
        <v>0</v>
      </c>
      <c r="CU41" s="367">
        <f>'KTR-Ausweis Gesamtansicht'!CU69</f>
        <v>0</v>
      </c>
      <c r="CV41" s="468"/>
      <c r="CW41" s="601"/>
      <c r="CX41" s="601"/>
      <c r="CY41" s="601"/>
    </row>
    <row r="42" spans="1:103" s="29" customFormat="1" ht="12.75" customHeight="1">
      <c r="A42" s="890"/>
      <c r="B42" s="160" t="str">
        <f>IF('KTR-Ausweis Gesamtansicht'!C69="REKOLE","Benchmarking-relevante Betriebskosten (BRB) inkl. Anlagenutzungskosten REKOLE","Benchmarking-relevante Betriebskosten (BRB) inkl. Anlagenutzungskosten VKL")</f>
        <v>Benchmarking-relevante Betriebskosten (BRB) inkl. Anlagenutzungskosten REKOLE</v>
      </c>
      <c r="C42" s="171"/>
      <c r="D42" s="171"/>
      <c r="E42" s="533"/>
      <c r="F42" s="390"/>
      <c r="G42" s="390"/>
      <c r="H42" s="390"/>
      <c r="I42" s="395"/>
      <c r="J42" s="136"/>
      <c r="K42" s="367" t="e">
        <f>K35+K41</f>
        <v>#DIV/0!</v>
      </c>
      <c r="L42" s="394"/>
      <c r="M42" s="750"/>
      <c r="N42" s="367" t="e">
        <f>N35+N41</f>
        <v>#DIV/0!</v>
      </c>
      <c r="O42" s="367" t="e">
        <f>O35+O41</f>
        <v>#DIV/0!</v>
      </c>
      <c r="P42" s="395"/>
      <c r="Q42" s="367" t="e">
        <f>Q35+P35+Q41</f>
        <v>#DIV/0!</v>
      </c>
      <c r="R42" s="367" t="e">
        <f>R35+R41</f>
        <v>#DIV/0!</v>
      </c>
      <c r="S42" s="764"/>
      <c r="T42" s="367" t="e">
        <f>T35+S35+T41</f>
        <v>#DIV/0!</v>
      </c>
      <c r="U42" s="395"/>
      <c r="V42" s="367" t="e">
        <f>V35+U35+V41</f>
        <v>#DIV/0!</v>
      </c>
      <c r="W42" s="395"/>
      <c r="X42" s="367" t="e">
        <f>X35+W35+X41</f>
        <v>#DIV/0!</v>
      </c>
      <c r="Y42" s="395"/>
      <c r="Z42" s="367" t="e">
        <f>Z35+Y35+Z41</f>
        <v>#DIV/0!</v>
      </c>
      <c r="AA42" s="395"/>
      <c r="AB42" s="367" t="e">
        <f>AB35+AA35+AB41</f>
        <v>#DIV/0!</v>
      </c>
      <c r="AC42" s="395"/>
      <c r="AD42" s="367" t="e">
        <f>AD35+AC35+AD41</f>
        <v>#DIV/0!</v>
      </c>
      <c r="AE42" s="395"/>
      <c r="AF42" s="367" t="e">
        <f>AF35+AE35+AF41</f>
        <v>#DIV/0!</v>
      </c>
      <c r="AG42" s="395"/>
      <c r="AH42" s="367" t="e">
        <f>AH35+AG35+AH41</f>
        <v>#DIV/0!</v>
      </c>
      <c r="AI42" s="395"/>
      <c r="AJ42" s="367" t="e">
        <f>AJ35+AI35+AJ41</f>
        <v>#DIV/0!</v>
      </c>
      <c r="AK42" s="395"/>
      <c r="AL42" s="367" t="e">
        <f>AL35+AK35+AL41</f>
        <v>#DIV/0!</v>
      </c>
      <c r="AM42" s="395"/>
      <c r="AN42" s="367" t="e">
        <f>AN35+AM35+AN41</f>
        <v>#DIV/0!</v>
      </c>
      <c r="AO42" s="395"/>
      <c r="AP42" s="367" t="e">
        <f>AP35+AO35+AP41</f>
        <v>#DIV/0!</v>
      </c>
      <c r="AQ42" s="395"/>
      <c r="AR42" s="367" t="e">
        <f>AR35+AQ35+AR41</f>
        <v>#DIV/0!</v>
      </c>
      <c r="AS42" s="395"/>
      <c r="AT42" s="367" t="e">
        <f>AT35+AS35+AT41</f>
        <v>#DIV/0!</v>
      </c>
      <c r="AU42" s="395"/>
      <c r="AV42" s="367" t="e">
        <f>AV35+AU35+AV41</f>
        <v>#DIV/0!</v>
      </c>
      <c r="AW42" s="395"/>
      <c r="AX42" s="367" t="e">
        <f>AX35+AW35+AX41</f>
        <v>#DIV/0!</v>
      </c>
      <c r="AY42" s="395"/>
      <c r="AZ42" s="367" t="e">
        <f>AZ35+AY35+AZ41</f>
        <v>#DIV/0!</v>
      </c>
      <c r="BA42" s="395"/>
      <c r="BB42" s="367" t="e">
        <f>BB35+BA35+BB41</f>
        <v>#DIV/0!</v>
      </c>
      <c r="BC42" s="367" t="e">
        <f>BC35+BC41</f>
        <v>#DIV/0!</v>
      </c>
      <c r="BD42" s="395"/>
      <c r="BE42" s="367" t="e">
        <f>BE35+BD35+BE41</f>
        <v>#DIV/0!</v>
      </c>
      <c r="BF42" s="367" t="e">
        <f>BF35+BF41</f>
        <v>#DIV/0!</v>
      </c>
      <c r="BG42" s="395"/>
      <c r="BH42" s="367" t="e">
        <f>BH35+BG35+BH41</f>
        <v>#DIV/0!</v>
      </c>
      <c r="BI42" s="395"/>
      <c r="BJ42" s="367" t="e">
        <f>BJ35+BI35+BJ41</f>
        <v>#DIV/0!</v>
      </c>
      <c r="BK42" s="367" t="e">
        <f>BK35+BK41</f>
        <v>#DIV/0!</v>
      </c>
      <c r="BL42" s="395"/>
      <c r="BM42" s="367" t="e">
        <f>BM35+BL35+BM41</f>
        <v>#DIV/0!</v>
      </c>
      <c r="BN42" s="395"/>
      <c r="BO42" s="367" t="e">
        <f>BO35+BN35+BO41</f>
        <v>#DIV/0!</v>
      </c>
      <c r="BP42" s="367" t="e">
        <f>BP35+BP41</f>
        <v>#DIV/0!</v>
      </c>
      <c r="BQ42" s="395"/>
      <c r="BR42" s="367" t="e">
        <f>BR35+BQ35+BR41</f>
        <v>#DIV/0!</v>
      </c>
      <c r="BS42" s="367" t="e">
        <f>BS35+BS41</f>
        <v>#DIV/0!</v>
      </c>
      <c r="BT42" s="367" t="e">
        <f>BT35+BT41</f>
        <v>#DIV/0!</v>
      </c>
      <c r="BU42" s="367" t="e">
        <f>BU35+BU41</f>
        <v>#DIV/0!</v>
      </c>
      <c r="BV42" s="367" t="e">
        <f>BV35+BV41</f>
        <v>#DIV/0!</v>
      </c>
      <c r="BW42" s="395"/>
      <c r="BX42" s="367" t="e">
        <f t="shared" ref="BX42:CB42" si="103">BX35+BX41</f>
        <v>#DIV/0!</v>
      </c>
      <c r="BY42" s="367" t="e">
        <f t="shared" si="103"/>
        <v>#DIV/0!</v>
      </c>
      <c r="BZ42" s="367" t="e">
        <f t="shared" si="103"/>
        <v>#DIV/0!</v>
      </c>
      <c r="CA42" s="367" t="e">
        <f t="shared" si="103"/>
        <v>#DIV/0!</v>
      </c>
      <c r="CB42" s="367" t="e">
        <f t="shared" si="103"/>
        <v>#DIV/0!</v>
      </c>
      <c r="CC42" s="367" t="e">
        <f t="shared" ref="CC42" si="104">CC35+CC41</f>
        <v>#DIV/0!</v>
      </c>
      <c r="CD42" s="367" t="e">
        <f t="shared" ref="CD42" si="105">CD35+CD41</f>
        <v>#DIV/0!</v>
      </c>
      <c r="CE42" s="367" t="e">
        <f t="shared" ref="CE42" si="106">CE35+CE41</f>
        <v>#DIV/0!</v>
      </c>
      <c r="CF42" s="395"/>
      <c r="CG42" s="395"/>
      <c r="CH42" s="395"/>
      <c r="CI42" s="395"/>
      <c r="CJ42" s="395"/>
      <c r="CK42" s="367" t="e">
        <f>CK35+CK41</f>
        <v>#DIV/0!</v>
      </c>
      <c r="CL42" s="367" t="e">
        <f t="shared" ref="CL42:CU42" si="107">CL35+CL41</f>
        <v>#DIV/0!</v>
      </c>
      <c r="CM42" s="367" t="e">
        <f t="shared" si="107"/>
        <v>#DIV/0!</v>
      </c>
      <c r="CN42" s="367" t="e">
        <f t="shared" si="107"/>
        <v>#DIV/0!</v>
      </c>
      <c r="CO42" s="367" t="e">
        <f t="shared" si="107"/>
        <v>#DIV/0!</v>
      </c>
      <c r="CP42" s="367" t="e">
        <f t="shared" si="107"/>
        <v>#DIV/0!</v>
      </c>
      <c r="CQ42" s="367" t="e">
        <f t="shared" si="107"/>
        <v>#DIV/0!</v>
      </c>
      <c r="CR42" s="367" t="e">
        <f t="shared" si="107"/>
        <v>#DIV/0!</v>
      </c>
      <c r="CS42" s="367" t="e">
        <f>CS35+CS41</f>
        <v>#DIV/0!</v>
      </c>
      <c r="CT42" s="367" t="e">
        <f t="shared" si="107"/>
        <v>#DIV/0!</v>
      </c>
      <c r="CU42" s="367" t="e">
        <f t="shared" si="107"/>
        <v>#DIV/0!</v>
      </c>
      <c r="CV42" s="468"/>
      <c r="CW42" s="601"/>
      <c r="CX42" s="601"/>
      <c r="CY42" s="601"/>
    </row>
    <row r="43" spans="1:103" s="29" customFormat="1" ht="12.75" customHeight="1">
      <c r="A43" s="890"/>
      <c r="B43" s="160" t="s">
        <v>1396</v>
      </c>
      <c r="C43" s="171"/>
      <c r="D43" s="171"/>
      <c r="E43" s="533"/>
      <c r="F43" s="390"/>
      <c r="G43" s="390"/>
      <c r="H43" s="390"/>
      <c r="I43" s="395"/>
      <c r="J43" s="136"/>
      <c r="K43" s="840" t="e">
        <f>K41/K42</f>
        <v>#DIV/0!</v>
      </c>
      <c r="L43" s="394"/>
      <c r="M43" s="750"/>
      <c r="N43" s="840" t="e">
        <f>N41/N42</f>
        <v>#DIV/0!</v>
      </c>
      <c r="O43" s="840" t="e">
        <f>O41/O42</f>
        <v>#DIV/0!</v>
      </c>
      <c r="P43" s="395"/>
      <c r="Q43" s="840" t="e">
        <f>Q41/Q42</f>
        <v>#DIV/0!</v>
      </c>
      <c r="R43" s="840" t="e">
        <f>R41/R42</f>
        <v>#DIV/0!</v>
      </c>
      <c r="S43" s="764"/>
      <c r="T43" s="840" t="e">
        <f>T41/T42</f>
        <v>#DIV/0!</v>
      </c>
      <c r="U43" s="395"/>
      <c r="V43" s="840" t="e">
        <f>V41/V42</f>
        <v>#DIV/0!</v>
      </c>
      <c r="W43" s="395"/>
      <c r="X43" s="840" t="e">
        <f>X41/X42</f>
        <v>#DIV/0!</v>
      </c>
      <c r="Y43" s="395"/>
      <c r="Z43" s="840" t="e">
        <f>Z41/Z42</f>
        <v>#DIV/0!</v>
      </c>
      <c r="AA43" s="395"/>
      <c r="AB43" s="840" t="e">
        <f>AB41/AB42</f>
        <v>#DIV/0!</v>
      </c>
      <c r="AC43" s="395"/>
      <c r="AD43" s="840" t="e">
        <f>AD41/AD42</f>
        <v>#DIV/0!</v>
      </c>
      <c r="AE43" s="395"/>
      <c r="AF43" s="840" t="e">
        <f>AF41/AF42</f>
        <v>#DIV/0!</v>
      </c>
      <c r="AG43" s="395"/>
      <c r="AH43" s="840" t="e">
        <f>AH41/AH42</f>
        <v>#DIV/0!</v>
      </c>
      <c r="AI43" s="395"/>
      <c r="AJ43" s="840" t="e">
        <f>AJ41/AJ42</f>
        <v>#DIV/0!</v>
      </c>
      <c r="AK43" s="395"/>
      <c r="AL43" s="840" t="e">
        <f>AL41/AL42</f>
        <v>#DIV/0!</v>
      </c>
      <c r="AM43" s="395"/>
      <c r="AN43" s="840" t="e">
        <f>AN41/AN42</f>
        <v>#DIV/0!</v>
      </c>
      <c r="AO43" s="395"/>
      <c r="AP43" s="840" t="e">
        <f>AP41/AP42</f>
        <v>#DIV/0!</v>
      </c>
      <c r="AQ43" s="395"/>
      <c r="AR43" s="840" t="e">
        <f>AR41/AR42</f>
        <v>#DIV/0!</v>
      </c>
      <c r="AS43" s="395"/>
      <c r="AT43" s="840" t="e">
        <f>AT41/AT42</f>
        <v>#DIV/0!</v>
      </c>
      <c r="AU43" s="395"/>
      <c r="AV43" s="840" t="e">
        <f>AV41/AV42</f>
        <v>#DIV/0!</v>
      </c>
      <c r="AW43" s="395"/>
      <c r="AX43" s="840" t="e">
        <f>AX41/AX42</f>
        <v>#DIV/0!</v>
      </c>
      <c r="AY43" s="395"/>
      <c r="AZ43" s="840" t="e">
        <f>AZ41/AZ42</f>
        <v>#DIV/0!</v>
      </c>
      <c r="BA43" s="395"/>
      <c r="BB43" s="840" t="e">
        <f>BB41/BB42</f>
        <v>#DIV/0!</v>
      </c>
      <c r="BC43" s="840" t="e">
        <f>BC41/BC42</f>
        <v>#DIV/0!</v>
      </c>
      <c r="BD43" s="395"/>
      <c r="BE43" s="840" t="e">
        <f>BE41/BE42</f>
        <v>#DIV/0!</v>
      </c>
      <c r="BF43" s="840" t="e">
        <f>BF41/BF42</f>
        <v>#DIV/0!</v>
      </c>
      <c r="BG43" s="395"/>
      <c r="BH43" s="840" t="e">
        <f>BH41/BH42</f>
        <v>#DIV/0!</v>
      </c>
      <c r="BI43" s="395"/>
      <c r="BJ43" s="840" t="e">
        <f>BJ41/BJ42</f>
        <v>#DIV/0!</v>
      </c>
      <c r="BK43" s="840" t="e">
        <f>BK41/BK42</f>
        <v>#DIV/0!</v>
      </c>
      <c r="BL43" s="395"/>
      <c r="BM43" s="840" t="e">
        <f>BM41/BM42</f>
        <v>#DIV/0!</v>
      </c>
      <c r="BN43" s="395"/>
      <c r="BO43" s="840" t="e">
        <f>BO41/BO42</f>
        <v>#DIV/0!</v>
      </c>
      <c r="BP43" s="840" t="e">
        <f>BP41/BP42</f>
        <v>#DIV/0!</v>
      </c>
      <c r="BQ43" s="395"/>
      <c r="BR43" s="840" t="e">
        <f>BR41/BR42</f>
        <v>#DIV/0!</v>
      </c>
      <c r="BS43" s="840" t="e">
        <f>BS41/BS42</f>
        <v>#DIV/0!</v>
      </c>
      <c r="BT43" s="840" t="e">
        <f>BT41/BT42</f>
        <v>#DIV/0!</v>
      </c>
      <c r="BU43" s="840" t="e">
        <f>BU41/BU42</f>
        <v>#DIV/0!</v>
      </c>
      <c r="BV43" s="840" t="e">
        <f>BV41/BV42</f>
        <v>#DIV/0!</v>
      </c>
      <c r="BW43" s="395"/>
      <c r="BX43" s="840" t="e">
        <f>BX41/BX42</f>
        <v>#DIV/0!</v>
      </c>
      <c r="BY43" s="840" t="e">
        <f t="shared" ref="BY43:CA43" si="108">BY41/BY42</f>
        <v>#DIV/0!</v>
      </c>
      <c r="BZ43" s="840" t="e">
        <f t="shared" si="108"/>
        <v>#DIV/0!</v>
      </c>
      <c r="CA43" s="840" t="e">
        <f t="shared" si="108"/>
        <v>#DIV/0!</v>
      </c>
      <c r="CB43" s="840" t="e">
        <f>CB41/CB42</f>
        <v>#DIV/0!</v>
      </c>
      <c r="CC43" s="840" t="e">
        <f t="shared" ref="CC43:CE43" si="109">CC41/CC42</f>
        <v>#DIV/0!</v>
      </c>
      <c r="CD43" s="840" t="e">
        <f t="shared" si="109"/>
        <v>#DIV/0!</v>
      </c>
      <c r="CE43" s="840" t="e">
        <f t="shared" si="109"/>
        <v>#DIV/0!</v>
      </c>
      <c r="CF43" s="395"/>
      <c r="CG43" s="395"/>
      <c r="CH43" s="395"/>
      <c r="CI43" s="395"/>
      <c r="CJ43" s="395"/>
      <c r="CK43" s="840" t="e">
        <f t="shared" ref="CK43:CU43" si="110">CK41/CK42</f>
        <v>#DIV/0!</v>
      </c>
      <c r="CL43" s="840" t="e">
        <f t="shared" si="110"/>
        <v>#DIV/0!</v>
      </c>
      <c r="CM43" s="840" t="e">
        <f t="shared" si="110"/>
        <v>#DIV/0!</v>
      </c>
      <c r="CN43" s="840" t="e">
        <f t="shared" si="110"/>
        <v>#DIV/0!</v>
      </c>
      <c r="CO43" s="840" t="e">
        <f t="shared" si="110"/>
        <v>#DIV/0!</v>
      </c>
      <c r="CP43" s="840" t="e">
        <f t="shared" si="110"/>
        <v>#DIV/0!</v>
      </c>
      <c r="CQ43" s="840" t="e">
        <f t="shared" si="110"/>
        <v>#DIV/0!</v>
      </c>
      <c r="CR43" s="840" t="e">
        <f t="shared" si="110"/>
        <v>#DIV/0!</v>
      </c>
      <c r="CS43" s="840" t="e">
        <f t="shared" si="110"/>
        <v>#DIV/0!</v>
      </c>
      <c r="CT43" s="840" t="e">
        <f t="shared" si="110"/>
        <v>#DIV/0!</v>
      </c>
      <c r="CU43" s="840" t="e">
        <f t="shared" si="110"/>
        <v>#DIV/0!</v>
      </c>
      <c r="CV43" s="468"/>
      <c r="CW43" s="601"/>
      <c r="CX43" s="601"/>
      <c r="CY43" s="601"/>
    </row>
    <row r="44" spans="1:103" s="2" customFormat="1" ht="12.75" customHeight="1">
      <c r="A44" s="890"/>
      <c r="B44" s="842" t="str">
        <f>IF('KTR-Ausweis Gesamtansicht'!C69="REKOLE","Benchmarking-relevanter Basiswert (Bezug: Fall, Tag,...)  inkl. ANK REKOLE","Benchmarking-relevanter Basiswert (Bezug: Fall, Tag,...)  inkl. ANK VKL")</f>
        <v>Benchmarking-relevanter Basiswert (Bezug: Fall, Tag,...)  inkl. ANK REKOLE</v>
      </c>
      <c r="C44" s="816"/>
      <c r="D44" s="816"/>
      <c r="E44" s="889"/>
      <c r="F44" s="390"/>
      <c r="G44" s="390"/>
      <c r="H44" s="390"/>
      <c r="I44" s="395"/>
      <c r="J44" s="748"/>
      <c r="K44" s="817" t="e">
        <f>SUM(K42)/K36</f>
        <v>#DIV/0!</v>
      </c>
      <c r="L44" s="394"/>
      <c r="M44" s="749"/>
      <c r="N44" s="817" t="e">
        <f>SUM(N42)/N36</f>
        <v>#DIV/0!</v>
      </c>
      <c r="O44" s="817" t="e">
        <f>SUM(O42)/O36</f>
        <v>#DIV/0!</v>
      </c>
      <c r="P44" s="395"/>
      <c r="Q44" s="817" t="e">
        <f>SUM(Q42)/(Q36+P36)</f>
        <v>#DIV/0!</v>
      </c>
      <c r="R44" s="817" t="e">
        <f>SUM(R42)/R36</f>
        <v>#DIV/0!</v>
      </c>
      <c r="S44" s="764"/>
      <c r="T44" s="817" t="e">
        <f>SUM(T42)/(T36+S36)</f>
        <v>#DIV/0!</v>
      </c>
      <c r="U44" s="395"/>
      <c r="V44" s="817" t="e">
        <f>SUM(V42)/(V36+U36)</f>
        <v>#DIV/0!</v>
      </c>
      <c r="W44" s="395"/>
      <c r="X44" s="817" t="e">
        <f>SUM(X42)/(X36+W36)</f>
        <v>#DIV/0!</v>
      </c>
      <c r="Y44" s="395"/>
      <c r="Z44" s="817" t="e">
        <f>SUM(Z42)/(Z36+Y36)</f>
        <v>#DIV/0!</v>
      </c>
      <c r="AA44" s="395"/>
      <c r="AB44" s="817" t="e">
        <f>SUM(AB42)/(AB36+AA36)</f>
        <v>#DIV/0!</v>
      </c>
      <c r="AC44" s="395"/>
      <c r="AD44" s="817" t="e">
        <f>SUM(AD42)/(AD36+AC36)</f>
        <v>#DIV/0!</v>
      </c>
      <c r="AE44" s="395"/>
      <c r="AF44" s="817" t="e">
        <f>SUM(AF42)/(AF36+AE36)</f>
        <v>#DIV/0!</v>
      </c>
      <c r="AG44" s="395"/>
      <c r="AH44" s="817" t="e">
        <f>SUM(AH42)/(AH36+AG36)</f>
        <v>#DIV/0!</v>
      </c>
      <c r="AI44" s="395"/>
      <c r="AJ44" s="817" t="e">
        <f>SUM(AJ42)/(AJ36+AI36)</f>
        <v>#DIV/0!</v>
      </c>
      <c r="AK44" s="395"/>
      <c r="AL44" s="817" t="e">
        <f>SUM(AL42)/(AL36+AK36)</f>
        <v>#DIV/0!</v>
      </c>
      <c r="AM44" s="395"/>
      <c r="AN44" s="817" t="e">
        <f>SUM(AN42)/(AN36+AM36)</f>
        <v>#DIV/0!</v>
      </c>
      <c r="AO44" s="395"/>
      <c r="AP44" s="817" t="e">
        <f>SUM(AP42)/(AP36+AO36)</f>
        <v>#DIV/0!</v>
      </c>
      <c r="AQ44" s="395"/>
      <c r="AR44" s="817" t="e">
        <f>SUM(AR42)/(AR36+AQ36)</f>
        <v>#DIV/0!</v>
      </c>
      <c r="AS44" s="395"/>
      <c r="AT44" s="817" t="e">
        <f>SUM(AT42)/(AT36+AS36)</f>
        <v>#DIV/0!</v>
      </c>
      <c r="AU44" s="395"/>
      <c r="AV44" s="817" t="e">
        <f>SUM(AV42)/(AV36+AU36)</f>
        <v>#DIV/0!</v>
      </c>
      <c r="AW44" s="395"/>
      <c r="AX44" s="817" t="e">
        <f>SUM(AX42)/(AX36+AW36)</f>
        <v>#DIV/0!</v>
      </c>
      <c r="AY44" s="395"/>
      <c r="AZ44" s="817" t="e">
        <f>SUM(AZ42)/(AZ36+AY36)</f>
        <v>#DIV/0!</v>
      </c>
      <c r="BA44" s="395"/>
      <c r="BB44" s="817" t="e">
        <f>SUM(BB42)/(BB36+BA36)</f>
        <v>#DIV/0!</v>
      </c>
      <c r="BC44" s="817" t="e">
        <f>SUM(BC41:BC42)/BC36</f>
        <v>#DIV/0!</v>
      </c>
      <c r="BD44" s="395"/>
      <c r="BE44" s="817" t="e">
        <f>SUM(BE42)/(BE36+BD36)</f>
        <v>#DIV/0!</v>
      </c>
      <c r="BF44" s="817" t="e">
        <f>SUM(BF42)/BF36</f>
        <v>#DIV/0!</v>
      </c>
      <c r="BG44" s="395"/>
      <c r="BH44" s="817" t="e">
        <f>SUM(BH42)/(BH36+BG36)</f>
        <v>#DIV/0!</v>
      </c>
      <c r="BI44" s="395"/>
      <c r="BJ44" s="817" t="e">
        <f>SUM(BJ42)/(BJ36+BI36)</f>
        <v>#DIV/0!</v>
      </c>
      <c r="BK44" s="817" t="e">
        <f>SUM(BK42)/(BK36)</f>
        <v>#DIV/0!</v>
      </c>
      <c r="BL44" s="395"/>
      <c r="BM44" s="817" t="e">
        <f>SUM(BM42)/(BM36+BL36)</f>
        <v>#DIV/0!</v>
      </c>
      <c r="BN44" s="395"/>
      <c r="BO44" s="817" t="e">
        <f>SUM(BO42)/(BO36+BN36)</f>
        <v>#DIV/0!</v>
      </c>
      <c r="BP44" s="817" t="e">
        <f>SUM(BP41:BP42)/BP36</f>
        <v>#DIV/0!</v>
      </c>
      <c r="BQ44" s="395"/>
      <c r="BR44" s="817" t="e">
        <f>SUM(BR42)/(BR36+BQ36)</f>
        <v>#DIV/0!</v>
      </c>
      <c r="BS44" s="817" t="e">
        <f>SUM(BS42)/BS36</f>
        <v>#DIV/0!</v>
      </c>
      <c r="BT44" s="817" t="e">
        <f>SUM(BT42)/BT36</f>
        <v>#DIV/0!</v>
      </c>
      <c r="BU44" s="817" t="e">
        <f>SUM(BU42)/BU36</f>
        <v>#DIV/0!</v>
      </c>
      <c r="BV44" s="817" t="e">
        <f>SUM(BV42)/BV36</f>
        <v>#DIV/0!</v>
      </c>
      <c r="BW44" s="395"/>
      <c r="BX44" s="817" t="e">
        <f>SUM(BX42)/BX36</f>
        <v>#DIV/0!</v>
      </c>
      <c r="BY44" s="817" t="e">
        <f t="shared" ref="BY44:CA44" si="111">SUM(BY42)/BY36</f>
        <v>#DIV/0!</v>
      </c>
      <c r="BZ44" s="817" t="e">
        <f t="shared" si="111"/>
        <v>#DIV/0!</v>
      </c>
      <c r="CA44" s="817" t="e">
        <f t="shared" si="111"/>
        <v>#DIV/0!</v>
      </c>
      <c r="CB44" s="817" t="e">
        <f>SUM(CB42)/CB36</f>
        <v>#DIV/0!</v>
      </c>
      <c r="CC44" s="817" t="e">
        <f t="shared" ref="CC44:CE44" si="112">SUM(CC42)/CC36</f>
        <v>#DIV/0!</v>
      </c>
      <c r="CD44" s="817" t="e">
        <f t="shared" si="112"/>
        <v>#DIV/0!</v>
      </c>
      <c r="CE44" s="817" t="e">
        <f t="shared" si="112"/>
        <v>#DIV/0!</v>
      </c>
      <c r="CF44" s="395"/>
      <c r="CG44" s="395"/>
      <c r="CH44" s="395"/>
      <c r="CI44" s="395"/>
      <c r="CJ44" s="395"/>
      <c r="CK44" s="963" t="e">
        <f>SUM(CK42)/CK36</f>
        <v>#DIV/0!</v>
      </c>
      <c r="CL44" s="963" t="e">
        <f t="shared" ref="CL44:CR44" si="113">SUM(CL42)/CL36</f>
        <v>#DIV/0!</v>
      </c>
      <c r="CM44" s="963" t="e">
        <f t="shared" si="113"/>
        <v>#DIV/0!</v>
      </c>
      <c r="CN44" s="963" t="e">
        <f t="shared" si="113"/>
        <v>#DIV/0!</v>
      </c>
      <c r="CO44" s="963" t="e">
        <f t="shared" si="113"/>
        <v>#DIV/0!</v>
      </c>
      <c r="CP44" s="963" t="e">
        <f t="shared" si="113"/>
        <v>#DIV/0!</v>
      </c>
      <c r="CQ44" s="963" t="e">
        <f t="shared" si="113"/>
        <v>#DIV/0!</v>
      </c>
      <c r="CR44" s="963" t="e">
        <f t="shared" si="113"/>
        <v>#DIV/0!</v>
      </c>
      <c r="CS44" s="963"/>
      <c r="CT44" s="963"/>
      <c r="CU44" s="963"/>
      <c r="CV44" s="468"/>
      <c r="CW44" s="599"/>
      <c r="CX44" s="599"/>
      <c r="CY44" s="599"/>
    </row>
    <row r="45" spans="1:103" s="102" customFormat="1" ht="12.75" customHeight="1">
      <c r="A45" s="890"/>
      <c r="B45" s="160" t="str">
        <f>IF('KTR-Ausweis Gesamtansicht'!C69="REKOLE","Anlagenutzungskosten VKL","Anlagenutzungskosten REKOLE")</f>
        <v>Anlagenutzungskosten VKL</v>
      </c>
      <c r="C45" s="623"/>
      <c r="D45" s="623"/>
      <c r="E45" s="624"/>
      <c r="F45" s="415"/>
      <c r="G45" s="415"/>
      <c r="H45" s="415"/>
      <c r="I45" s="581"/>
      <c r="J45" s="135"/>
      <c r="K45" s="367">
        <f>'KTR-Ausweis Gesamtansicht'!K76</f>
        <v>0</v>
      </c>
      <c r="L45" s="387"/>
      <c r="M45" s="752"/>
      <c r="N45" s="367">
        <f>'KTR-Ausweis Gesamtansicht'!N76</f>
        <v>0</v>
      </c>
      <c r="O45" s="367">
        <f>'KTR-Ausweis Gesamtansicht'!O76</f>
        <v>0</v>
      </c>
      <c r="P45" s="581"/>
      <c r="Q45" s="367">
        <f>'KTR-Ausweis Gesamtansicht'!P76+'KTR-Ausweis Gesamtansicht'!Q76</f>
        <v>0</v>
      </c>
      <c r="R45" s="367">
        <f>'KTR-Ausweis Gesamtansicht'!R76</f>
        <v>0</v>
      </c>
      <c r="S45" s="821"/>
      <c r="T45" s="367">
        <f>'KTR-Ausweis Gesamtansicht'!S76+'KTR-Ausweis Gesamtansicht'!T76</f>
        <v>0</v>
      </c>
      <c r="U45" s="581"/>
      <c r="V45" s="367">
        <f>'KTR-Ausweis Gesamtansicht'!U76+'KTR-Ausweis Gesamtansicht'!V76</f>
        <v>0</v>
      </c>
      <c r="W45" s="581"/>
      <c r="X45" s="367">
        <f>'KTR-Ausweis Gesamtansicht'!W76+'KTR-Ausweis Gesamtansicht'!X76</f>
        <v>0</v>
      </c>
      <c r="Y45" s="581"/>
      <c r="Z45" s="367">
        <f>'KTR-Ausweis Gesamtansicht'!Y76+'KTR-Ausweis Gesamtansicht'!Z76</f>
        <v>0</v>
      </c>
      <c r="AA45" s="581"/>
      <c r="AB45" s="367">
        <f>'KTR-Ausweis Gesamtansicht'!AA76+'KTR-Ausweis Gesamtansicht'!AB76</f>
        <v>0</v>
      </c>
      <c r="AC45" s="395"/>
      <c r="AD45" s="367">
        <f>'KTR-Ausweis Gesamtansicht'!AC76+'KTR-Ausweis Gesamtansicht'!AD76</f>
        <v>0</v>
      </c>
      <c r="AE45" s="581"/>
      <c r="AF45" s="367">
        <f>'KTR-Ausweis Gesamtansicht'!AE76+'KTR-Ausweis Gesamtansicht'!AF76</f>
        <v>0</v>
      </c>
      <c r="AG45" s="581"/>
      <c r="AH45" s="367">
        <f>'KTR-Ausweis Gesamtansicht'!AG76+'KTR-Ausweis Gesamtansicht'!AH76</f>
        <v>0</v>
      </c>
      <c r="AI45" s="581"/>
      <c r="AJ45" s="367">
        <f>'KTR-Ausweis Gesamtansicht'!AI76+'KTR-Ausweis Gesamtansicht'!AJ76</f>
        <v>0</v>
      </c>
      <c r="AK45" s="581"/>
      <c r="AL45" s="367">
        <f>'KTR-Ausweis Gesamtansicht'!AK76+'KTR-Ausweis Gesamtansicht'!AL76</f>
        <v>0</v>
      </c>
      <c r="AM45" s="581"/>
      <c r="AN45" s="367">
        <f>'KTR-Ausweis Gesamtansicht'!AM76+'KTR-Ausweis Gesamtansicht'!AN76</f>
        <v>0</v>
      </c>
      <c r="AO45" s="581"/>
      <c r="AP45" s="367">
        <f>'KTR-Ausweis Gesamtansicht'!AO76+'KTR-Ausweis Gesamtansicht'!AP76</f>
        <v>0</v>
      </c>
      <c r="AQ45" s="581"/>
      <c r="AR45" s="367">
        <f>'KTR-Ausweis Gesamtansicht'!AQ76+'KTR-Ausweis Gesamtansicht'!AR76</f>
        <v>0</v>
      </c>
      <c r="AS45" s="581"/>
      <c r="AT45" s="367">
        <f>'KTR-Ausweis Gesamtansicht'!AS76+'KTR-Ausweis Gesamtansicht'!AT76</f>
        <v>0</v>
      </c>
      <c r="AU45" s="581"/>
      <c r="AV45" s="367">
        <f>'KTR-Ausweis Gesamtansicht'!AU76+'KTR-Ausweis Gesamtansicht'!AV76</f>
        <v>0</v>
      </c>
      <c r="AW45" s="581"/>
      <c r="AX45" s="367">
        <f>'KTR-Ausweis Gesamtansicht'!AW76+'KTR-Ausweis Gesamtansicht'!AX76</f>
        <v>0</v>
      </c>
      <c r="AY45" s="581"/>
      <c r="AZ45" s="367">
        <f>'KTR-Ausweis Gesamtansicht'!AY76+'KTR-Ausweis Gesamtansicht'!AZ76</f>
        <v>0</v>
      </c>
      <c r="BA45" s="581"/>
      <c r="BB45" s="367">
        <f>'KTR-Ausweis Gesamtansicht'!BA76+'KTR-Ausweis Gesamtansicht'!BB76</f>
        <v>0</v>
      </c>
      <c r="BC45" s="367">
        <f>'KTR-Ausweis Gesamtansicht'!BC76</f>
        <v>0</v>
      </c>
      <c r="BD45" s="581"/>
      <c r="BE45" s="367">
        <f>'KTR-Ausweis Gesamtansicht'!BE76</f>
        <v>0</v>
      </c>
      <c r="BF45" s="367">
        <f>'KTR-Ausweis Gesamtansicht'!BF76</f>
        <v>0</v>
      </c>
      <c r="BG45" s="581"/>
      <c r="BH45" s="367">
        <f>'KTR-Ausweis Gesamtansicht'!BG76+'KTR-Ausweis Gesamtansicht'!BH76</f>
        <v>0</v>
      </c>
      <c r="BI45" s="581"/>
      <c r="BJ45" s="367">
        <f>'KTR-Ausweis Gesamtansicht'!BI76+'KTR-Ausweis Gesamtansicht'!BJ76</f>
        <v>0</v>
      </c>
      <c r="BK45" s="367">
        <f>'KTR-Ausweis Gesamtansicht'!BK76</f>
        <v>0</v>
      </c>
      <c r="BL45" s="581"/>
      <c r="BM45" s="367">
        <f>'KTR-Ausweis Gesamtansicht'!BL76+'KTR-Ausweis Gesamtansicht'!BM76</f>
        <v>0</v>
      </c>
      <c r="BN45" s="581"/>
      <c r="BO45" s="367">
        <f>'KTR-Ausweis Gesamtansicht'!BN76+'KTR-Ausweis Gesamtansicht'!BO76</f>
        <v>0</v>
      </c>
      <c r="BP45" s="367">
        <f>'KTR-Ausweis Gesamtansicht'!BP76</f>
        <v>0</v>
      </c>
      <c r="BQ45" s="581"/>
      <c r="BR45" s="367">
        <f>'KTR-Ausweis Gesamtansicht'!BQ76+'KTR-Ausweis Gesamtansicht'!BR76</f>
        <v>0</v>
      </c>
      <c r="BS45" s="367">
        <f>'KTR-Ausweis Gesamtansicht'!BS76</f>
        <v>0</v>
      </c>
      <c r="BT45" s="367">
        <f>'KTR-Ausweis Gesamtansicht'!BT76</f>
        <v>0</v>
      </c>
      <c r="BU45" s="367">
        <f>'KTR-Ausweis Gesamtansicht'!BU76</f>
        <v>0</v>
      </c>
      <c r="BV45" s="367">
        <f>'KTR-Ausweis Gesamtansicht'!BV76</f>
        <v>0</v>
      </c>
      <c r="BW45" s="581"/>
      <c r="BX45" s="367">
        <f>'KTR-Ausweis Gesamtansicht'!BX76</f>
        <v>0</v>
      </c>
      <c r="BY45" s="367">
        <f>'KTR-Ausweis Gesamtansicht'!BY76</f>
        <v>0</v>
      </c>
      <c r="BZ45" s="367">
        <f>'KTR-Ausweis Gesamtansicht'!BZ76</f>
        <v>0</v>
      </c>
      <c r="CA45" s="367">
        <f>'KTR-Ausweis Gesamtansicht'!CA76</f>
        <v>0</v>
      </c>
      <c r="CB45" s="367">
        <f>'KTR-Ausweis Gesamtansicht'!CB76</f>
        <v>0</v>
      </c>
      <c r="CC45" s="367">
        <f>'KTR-Ausweis Gesamtansicht'!CC76</f>
        <v>0</v>
      </c>
      <c r="CD45" s="367">
        <f>'KTR-Ausweis Gesamtansicht'!CD76</f>
        <v>0</v>
      </c>
      <c r="CE45" s="367">
        <f>'KTR-Ausweis Gesamtansicht'!CE76</f>
        <v>0</v>
      </c>
      <c r="CF45" s="581"/>
      <c r="CG45" s="581"/>
      <c r="CH45" s="581"/>
      <c r="CI45" s="581"/>
      <c r="CJ45" s="581"/>
      <c r="CK45" s="367">
        <f>'KTR-Ausweis Gesamtansicht'!CK76</f>
        <v>0</v>
      </c>
      <c r="CL45" s="367">
        <f>'KTR-Ausweis Gesamtansicht'!CL76</f>
        <v>0</v>
      </c>
      <c r="CM45" s="367">
        <f>'KTR-Ausweis Gesamtansicht'!CM76</f>
        <v>0</v>
      </c>
      <c r="CN45" s="367">
        <f>'KTR-Ausweis Gesamtansicht'!CN76</f>
        <v>0</v>
      </c>
      <c r="CO45" s="367">
        <f>'KTR-Ausweis Gesamtansicht'!CO76</f>
        <v>0</v>
      </c>
      <c r="CP45" s="367">
        <f>'KTR-Ausweis Gesamtansicht'!CP76</f>
        <v>0</v>
      </c>
      <c r="CQ45" s="367">
        <f>'KTR-Ausweis Gesamtansicht'!CQ76</f>
        <v>0</v>
      </c>
      <c r="CR45" s="367">
        <f>'KTR-Ausweis Gesamtansicht'!CR76</f>
        <v>0</v>
      </c>
      <c r="CS45" s="367">
        <f>'KTR-Ausweis Gesamtansicht'!CS76</f>
        <v>0</v>
      </c>
      <c r="CT45" s="367">
        <f>'KTR-Ausweis Gesamtansicht'!CT76</f>
        <v>0</v>
      </c>
      <c r="CU45" s="367">
        <f>'KTR-Ausweis Gesamtansicht'!CU76</f>
        <v>0</v>
      </c>
      <c r="CV45" s="465"/>
      <c r="CW45" s="579"/>
      <c r="CX45" s="579"/>
      <c r="CY45" s="579"/>
    </row>
    <row r="46" spans="1:103" s="102" customFormat="1" ht="12.75" customHeight="1">
      <c r="A46" s="890"/>
      <c r="B46" s="160" t="str">
        <f>IF('KTR-Ausweis Gesamtansicht'!C69="REKOLE","Benchmarking-relevante Betriebskosten (BRB) inkl. Anlagenutzungskosten VKL","Benchmarking-relevante Betriebskosten (BRB) inkl. Anlagenutzungskosten REKOLE")</f>
        <v>Benchmarking-relevante Betriebskosten (BRB) inkl. Anlagenutzungskosten VKL</v>
      </c>
      <c r="C46" s="623"/>
      <c r="D46" s="623"/>
      <c r="E46" s="624"/>
      <c r="F46" s="415"/>
      <c r="G46" s="415"/>
      <c r="H46" s="415"/>
      <c r="I46" s="581"/>
      <c r="J46" s="135"/>
      <c r="K46" s="367" t="e">
        <f>K35+K45</f>
        <v>#DIV/0!</v>
      </c>
      <c r="L46" s="387"/>
      <c r="M46" s="752"/>
      <c r="N46" s="367" t="e">
        <f>N35+N45</f>
        <v>#DIV/0!</v>
      </c>
      <c r="O46" s="367" t="e">
        <f>O35+O45</f>
        <v>#DIV/0!</v>
      </c>
      <c r="P46" s="581"/>
      <c r="Q46" s="367" t="e">
        <f>Q35+P35+Q45</f>
        <v>#DIV/0!</v>
      </c>
      <c r="R46" s="367" t="e">
        <f>R35+R45</f>
        <v>#DIV/0!</v>
      </c>
      <c r="S46" s="821"/>
      <c r="T46" s="367" t="e">
        <f>T35+S35+T45</f>
        <v>#DIV/0!</v>
      </c>
      <c r="U46" s="581"/>
      <c r="V46" s="367" t="e">
        <f>V35+U35+V45</f>
        <v>#DIV/0!</v>
      </c>
      <c r="W46" s="581"/>
      <c r="X46" s="367" t="e">
        <f>X35+W35+X45</f>
        <v>#DIV/0!</v>
      </c>
      <c r="Y46" s="581"/>
      <c r="Z46" s="367" t="e">
        <f>Z35+Y35+Z45</f>
        <v>#DIV/0!</v>
      </c>
      <c r="AA46" s="581"/>
      <c r="AB46" s="367" t="e">
        <f>AB35+AA35+AB45</f>
        <v>#DIV/0!</v>
      </c>
      <c r="AC46" s="395"/>
      <c r="AD46" s="367" t="e">
        <f>AD35+AC35+AD45</f>
        <v>#DIV/0!</v>
      </c>
      <c r="AE46" s="581"/>
      <c r="AF46" s="367" t="e">
        <f>AF35+AE35+AF45</f>
        <v>#DIV/0!</v>
      </c>
      <c r="AG46" s="581"/>
      <c r="AH46" s="367" t="e">
        <f>AH35+AG35+AH45</f>
        <v>#DIV/0!</v>
      </c>
      <c r="AI46" s="581"/>
      <c r="AJ46" s="367" t="e">
        <f>AJ35+AI35+AJ45</f>
        <v>#DIV/0!</v>
      </c>
      <c r="AK46" s="581"/>
      <c r="AL46" s="367" t="e">
        <f>AL35+AK35+AL45</f>
        <v>#DIV/0!</v>
      </c>
      <c r="AM46" s="581"/>
      <c r="AN46" s="367" t="e">
        <f>AN35+AM35+AN45</f>
        <v>#DIV/0!</v>
      </c>
      <c r="AO46" s="581"/>
      <c r="AP46" s="367" t="e">
        <f>AP35+AO35+AP45</f>
        <v>#DIV/0!</v>
      </c>
      <c r="AQ46" s="581"/>
      <c r="AR46" s="367" t="e">
        <f>AR35+AQ35+AR45</f>
        <v>#DIV/0!</v>
      </c>
      <c r="AS46" s="581"/>
      <c r="AT46" s="367" t="e">
        <f>AT35+AS35+AT45</f>
        <v>#DIV/0!</v>
      </c>
      <c r="AU46" s="581"/>
      <c r="AV46" s="367" t="e">
        <f>AV35+AU35+AV45</f>
        <v>#DIV/0!</v>
      </c>
      <c r="AW46" s="581"/>
      <c r="AX46" s="367" t="e">
        <f>AX35+AW35+AX45</f>
        <v>#DIV/0!</v>
      </c>
      <c r="AY46" s="581"/>
      <c r="AZ46" s="367" t="e">
        <f>AZ35+AY35+AZ45</f>
        <v>#DIV/0!</v>
      </c>
      <c r="BA46" s="581"/>
      <c r="BB46" s="367" t="e">
        <f>BB35+BA35+BB45</f>
        <v>#DIV/0!</v>
      </c>
      <c r="BC46" s="367" t="e">
        <f>BC35+BC45</f>
        <v>#DIV/0!</v>
      </c>
      <c r="BD46" s="581"/>
      <c r="BE46" s="367" t="e">
        <f>BE35+BE45</f>
        <v>#DIV/0!</v>
      </c>
      <c r="BF46" s="367" t="e">
        <f>BF35+BF45</f>
        <v>#DIV/0!</v>
      </c>
      <c r="BG46" s="581"/>
      <c r="BH46" s="367" t="e">
        <f>BH35+BG35+BH45</f>
        <v>#DIV/0!</v>
      </c>
      <c r="BI46" s="581"/>
      <c r="BJ46" s="367" t="e">
        <f>BJ35+BI35+BJ45</f>
        <v>#DIV/0!</v>
      </c>
      <c r="BK46" s="367" t="e">
        <f>BK35+BK45</f>
        <v>#DIV/0!</v>
      </c>
      <c r="BL46" s="581"/>
      <c r="BM46" s="367" t="e">
        <f>BM35+BL35+BM45</f>
        <v>#DIV/0!</v>
      </c>
      <c r="BN46" s="581"/>
      <c r="BO46" s="367" t="e">
        <f>BO35+BN35+BO45</f>
        <v>#DIV/0!</v>
      </c>
      <c r="BP46" s="367" t="e">
        <f>BP35+BP45</f>
        <v>#DIV/0!</v>
      </c>
      <c r="BQ46" s="581"/>
      <c r="BR46" s="367" t="e">
        <f>BR35+BQ35+BR45</f>
        <v>#DIV/0!</v>
      </c>
      <c r="BS46" s="367" t="e">
        <f>BS35+BS45</f>
        <v>#DIV/0!</v>
      </c>
      <c r="BT46" s="367" t="e">
        <f>BT35+BT45</f>
        <v>#DIV/0!</v>
      </c>
      <c r="BU46" s="367" t="e">
        <f t="shared" ref="BU46:BV46" si="114">BU35+BU45</f>
        <v>#DIV/0!</v>
      </c>
      <c r="BV46" s="367" t="e">
        <f t="shared" si="114"/>
        <v>#DIV/0!</v>
      </c>
      <c r="BW46" s="581"/>
      <c r="BX46" s="367" t="e">
        <f t="shared" ref="BX46" si="115">BX35+BX45</f>
        <v>#DIV/0!</v>
      </c>
      <c r="BY46" s="367" t="e">
        <f t="shared" ref="BY46" si="116">BY35+BY45</f>
        <v>#DIV/0!</v>
      </c>
      <c r="BZ46" s="367" t="e">
        <f t="shared" ref="BZ46" si="117">BZ35+BZ45</f>
        <v>#DIV/0!</v>
      </c>
      <c r="CA46" s="367" t="e">
        <f t="shared" ref="CA46" si="118">CA35+CA45</f>
        <v>#DIV/0!</v>
      </c>
      <c r="CB46" s="367" t="e">
        <f t="shared" ref="CB46" si="119">CB35+CB45</f>
        <v>#DIV/0!</v>
      </c>
      <c r="CC46" s="367" t="e">
        <f t="shared" ref="CC46" si="120">CC35+CC45</f>
        <v>#DIV/0!</v>
      </c>
      <c r="CD46" s="367" t="e">
        <f t="shared" ref="CD46" si="121">CD35+CD45</f>
        <v>#DIV/0!</v>
      </c>
      <c r="CE46" s="367" t="e">
        <f t="shared" ref="CE46" si="122">CE35+CE45</f>
        <v>#DIV/0!</v>
      </c>
      <c r="CF46" s="581"/>
      <c r="CG46" s="581"/>
      <c r="CH46" s="581"/>
      <c r="CI46" s="581"/>
      <c r="CJ46" s="581"/>
      <c r="CK46" s="367" t="e">
        <f>CK35+CK45</f>
        <v>#DIV/0!</v>
      </c>
      <c r="CL46" s="367" t="e">
        <f t="shared" ref="CL46:CU46" si="123">CL35+CL45</f>
        <v>#DIV/0!</v>
      </c>
      <c r="CM46" s="367" t="e">
        <f t="shared" si="123"/>
        <v>#DIV/0!</v>
      </c>
      <c r="CN46" s="367" t="e">
        <f t="shared" si="123"/>
        <v>#DIV/0!</v>
      </c>
      <c r="CO46" s="367" t="e">
        <f t="shared" si="123"/>
        <v>#DIV/0!</v>
      </c>
      <c r="CP46" s="367" t="e">
        <f t="shared" si="123"/>
        <v>#DIV/0!</v>
      </c>
      <c r="CQ46" s="367" t="e">
        <f t="shared" si="123"/>
        <v>#DIV/0!</v>
      </c>
      <c r="CR46" s="367" t="e">
        <f t="shared" si="123"/>
        <v>#DIV/0!</v>
      </c>
      <c r="CS46" s="367" t="e">
        <f>CS35+CS45</f>
        <v>#DIV/0!</v>
      </c>
      <c r="CT46" s="367" t="e">
        <f t="shared" si="123"/>
        <v>#DIV/0!</v>
      </c>
      <c r="CU46" s="367" t="e">
        <f t="shared" si="123"/>
        <v>#DIV/0!</v>
      </c>
      <c r="CV46" s="465"/>
      <c r="CW46" s="579"/>
      <c r="CX46" s="579"/>
      <c r="CY46" s="579"/>
    </row>
    <row r="47" spans="1:103" s="102" customFormat="1" ht="12.75" customHeight="1">
      <c r="A47" s="890"/>
      <c r="B47" s="160" t="s">
        <v>1396</v>
      </c>
      <c r="C47" s="623"/>
      <c r="D47" s="623"/>
      <c r="E47" s="624"/>
      <c r="F47" s="415"/>
      <c r="G47" s="415"/>
      <c r="H47" s="415"/>
      <c r="I47" s="581"/>
      <c r="J47" s="135"/>
      <c r="K47" s="840" t="e">
        <f>K45/K46</f>
        <v>#DIV/0!</v>
      </c>
      <c r="L47" s="387"/>
      <c r="M47" s="752"/>
      <c r="N47" s="840" t="e">
        <f>N45/N46</f>
        <v>#DIV/0!</v>
      </c>
      <c r="O47" s="840" t="e">
        <f>O45/O46</f>
        <v>#DIV/0!</v>
      </c>
      <c r="P47" s="581"/>
      <c r="Q47" s="840" t="e">
        <f>Q45/Q46</f>
        <v>#DIV/0!</v>
      </c>
      <c r="R47" s="840" t="e">
        <f>R45/R46</f>
        <v>#DIV/0!</v>
      </c>
      <c r="S47" s="821"/>
      <c r="T47" s="840" t="e">
        <f>T45/T46</f>
        <v>#DIV/0!</v>
      </c>
      <c r="U47" s="581"/>
      <c r="V47" s="840" t="e">
        <f>V45/V46</f>
        <v>#DIV/0!</v>
      </c>
      <c r="W47" s="581"/>
      <c r="X47" s="840" t="e">
        <f>X45/X46</f>
        <v>#DIV/0!</v>
      </c>
      <c r="Y47" s="581"/>
      <c r="Z47" s="840" t="e">
        <f>Z45/Z46</f>
        <v>#DIV/0!</v>
      </c>
      <c r="AA47" s="581"/>
      <c r="AB47" s="840" t="e">
        <f>AB45/AB46</f>
        <v>#DIV/0!</v>
      </c>
      <c r="AC47" s="581"/>
      <c r="AD47" s="840" t="e">
        <f>AD45/AD46</f>
        <v>#DIV/0!</v>
      </c>
      <c r="AE47" s="581"/>
      <c r="AF47" s="840" t="e">
        <f>AF45/AF46</f>
        <v>#DIV/0!</v>
      </c>
      <c r="AG47" s="581"/>
      <c r="AH47" s="840" t="e">
        <f>AH45/AH46</f>
        <v>#DIV/0!</v>
      </c>
      <c r="AI47" s="581"/>
      <c r="AJ47" s="840" t="e">
        <f>AJ45/AJ46</f>
        <v>#DIV/0!</v>
      </c>
      <c r="AK47" s="581"/>
      <c r="AL47" s="840" t="e">
        <f>AL45/AL46</f>
        <v>#DIV/0!</v>
      </c>
      <c r="AM47" s="581"/>
      <c r="AN47" s="840" t="e">
        <f>AN45/AN46</f>
        <v>#DIV/0!</v>
      </c>
      <c r="AO47" s="581"/>
      <c r="AP47" s="840" t="e">
        <f>AP45/AP46</f>
        <v>#DIV/0!</v>
      </c>
      <c r="AQ47" s="581"/>
      <c r="AR47" s="840" t="e">
        <f>AR45/AR46</f>
        <v>#DIV/0!</v>
      </c>
      <c r="AS47" s="581"/>
      <c r="AT47" s="840" t="e">
        <f>AT45/AT46</f>
        <v>#DIV/0!</v>
      </c>
      <c r="AU47" s="581"/>
      <c r="AV47" s="840" t="e">
        <f>AV45/AV46</f>
        <v>#DIV/0!</v>
      </c>
      <c r="AW47" s="581"/>
      <c r="AX47" s="840" t="e">
        <f>AX45/AX46</f>
        <v>#DIV/0!</v>
      </c>
      <c r="AY47" s="581"/>
      <c r="AZ47" s="840" t="e">
        <f>AZ45/AZ46</f>
        <v>#DIV/0!</v>
      </c>
      <c r="BA47" s="581"/>
      <c r="BB47" s="840" t="e">
        <f>BB45/BB46</f>
        <v>#DIV/0!</v>
      </c>
      <c r="BC47" s="840" t="e">
        <f>BC45/BC46</f>
        <v>#DIV/0!</v>
      </c>
      <c r="BD47" s="581"/>
      <c r="BE47" s="840" t="e">
        <f>BE45/BE46</f>
        <v>#DIV/0!</v>
      </c>
      <c r="BF47" s="840" t="e">
        <f>BF45/BF46</f>
        <v>#DIV/0!</v>
      </c>
      <c r="BG47" s="581"/>
      <c r="BH47" s="840" t="e">
        <f>BH45/BH46</f>
        <v>#DIV/0!</v>
      </c>
      <c r="BI47" s="581"/>
      <c r="BJ47" s="840" t="e">
        <f>BJ45/BJ46</f>
        <v>#DIV/0!</v>
      </c>
      <c r="BK47" s="840" t="e">
        <f>BK45/BK46</f>
        <v>#DIV/0!</v>
      </c>
      <c r="BL47" s="581"/>
      <c r="BM47" s="840" t="e">
        <f>BM45/BM46</f>
        <v>#DIV/0!</v>
      </c>
      <c r="BN47" s="581"/>
      <c r="BO47" s="840" t="e">
        <f>BO45/BO46</f>
        <v>#DIV/0!</v>
      </c>
      <c r="BP47" s="840" t="e">
        <f>BP45/BP46</f>
        <v>#DIV/0!</v>
      </c>
      <c r="BQ47" s="581"/>
      <c r="BR47" s="840" t="e">
        <f>BR45/BR46</f>
        <v>#DIV/0!</v>
      </c>
      <c r="BS47" s="840" t="e">
        <f>BS45/BS46</f>
        <v>#DIV/0!</v>
      </c>
      <c r="BT47" s="840" t="e">
        <f>BT45/BT46</f>
        <v>#DIV/0!</v>
      </c>
      <c r="BU47" s="840" t="e">
        <f t="shared" ref="BU47:BV47" si="124">BU45/BU46</f>
        <v>#DIV/0!</v>
      </c>
      <c r="BV47" s="840" t="e">
        <f t="shared" si="124"/>
        <v>#DIV/0!</v>
      </c>
      <c r="BW47" s="581"/>
      <c r="BX47" s="840" t="e">
        <f t="shared" ref="BX47" si="125">BX45/BX46</f>
        <v>#DIV/0!</v>
      </c>
      <c r="BY47" s="840" t="e">
        <f t="shared" ref="BY47" si="126">BY45/BY46</f>
        <v>#DIV/0!</v>
      </c>
      <c r="BZ47" s="840" t="e">
        <f t="shared" ref="BZ47" si="127">BZ45/BZ46</f>
        <v>#DIV/0!</v>
      </c>
      <c r="CA47" s="840" t="e">
        <f t="shared" ref="CA47" si="128">CA45/CA46</f>
        <v>#DIV/0!</v>
      </c>
      <c r="CB47" s="840" t="e">
        <f t="shared" ref="CB47" si="129">CB45/CB46</f>
        <v>#DIV/0!</v>
      </c>
      <c r="CC47" s="840" t="e">
        <f t="shared" ref="CC47" si="130">CC45/CC46</f>
        <v>#DIV/0!</v>
      </c>
      <c r="CD47" s="840" t="e">
        <f t="shared" ref="CD47" si="131">CD45/CD46</f>
        <v>#DIV/0!</v>
      </c>
      <c r="CE47" s="840" t="e">
        <f t="shared" ref="CE47" si="132">CE45/CE46</f>
        <v>#DIV/0!</v>
      </c>
      <c r="CF47" s="581"/>
      <c r="CG47" s="581"/>
      <c r="CH47" s="581"/>
      <c r="CI47" s="581"/>
      <c r="CJ47" s="581"/>
      <c r="CK47" s="840" t="e">
        <f>CK45/CK46</f>
        <v>#DIV/0!</v>
      </c>
      <c r="CL47" s="840" t="e">
        <f t="shared" ref="CL47:CU47" si="133">CL45/CL46</f>
        <v>#DIV/0!</v>
      </c>
      <c r="CM47" s="840" t="e">
        <f t="shared" si="133"/>
        <v>#DIV/0!</v>
      </c>
      <c r="CN47" s="840" t="e">
        <f t="shared" si="133"/>
        <v>#DIV/0!</v>
      </c>
      <c r="CO47" s="840" t="e">
        <f t="shared" si="133"/>
        <v>#DIV/0!</v>
      </c>
      <c r="CP47" s="840" t="e">
        <f t="shared" si="133"/>
        <v>#DIV/0!</v>
      </c>
      <c r="CQ47" s="840" t="e">
        <f t="shared" si="133"/>
        <v>#DIV/0!</v>
      </c>
      <c r="CR47" s="840" t="e">
        <f t="shared" si="133"/>
        <v>#DIV/0!</v>
      </c>
      <c r="CS47" s="840" t="e">
        <f t="shared" si="133"/>
        <v>#DIV/0!</v>
      </c>
      <c r="CT47" s="840" t="e">
        <f t="shared" si="133"/>
        <v>#DIV/0!</v>
      </c>
      <c r="CU47" s="840" t="e">
        <f t="shared" si="133"/>
        <v>#DIV/0!</v>
      </c>
      <c r="CV47" s="465"/>
      <c r="CW47" s="579"/>
      <c r="CX47" s="579"/>
      <c r="CY47" s="579"/>
    </row>
    <row r="48" spans="1:103" s="2" customFormat="1" ht="12.75" customHeight="1" thickBot="1">
      <c r="A48" s="890"/>
      <c r="B48" s="842" t="str">
        <f>IF('KTR-Ausweis Gesamtansicht'!C69="REKOLE","Benchmarking-relevanter Basiswert (Bezug: Fall, Tag,...)  inkl. ANK VKL","Benchmarking-relevanter Basiswert (Bezug: Fall, Tag,...)  inkl. ANK REKOLE")</f>
        <v>Benchmarking-relevanter Basiswert (Bezug: Fall, Tag,...)  inkl. ANK VKL</v>
      </c>
      <c r="C48" s="816"/>
      <c r="D48" s="816"/>
      <c r="E48" s="889"/>
      <c r="F48" s="390"/>
      <c r="G48" s="390"/>
      <c r="H48" s="390"/>
      <c r="I48" s="395"/>
      <c r="J48" s="748"/>
      <c r="K48" s="817" t="e">
        <f>K46/K36</f>
        <v>#DIV/0!</v>
      </c>
      <c r="L48" s="394"/>
      <c r="M48" s="749"/>
      <c r="N48" s="817" t="e">
        <f>N46/N36</f>
        <v>#DIV/0!</v>
      </c>
      <c r="O48" s="817" t="e">
        <f>O46/O36</f>
        <v>#DIV/0!</v>
      </c>
      <c r="P48" s="395"/>
      <c r="Q48" s="817" t="e">
        <f>Q46/(P36+Q36)</f>
        <v>#DIV/0!</v>
      </c>
      <c r="R48" s="817" t="e">
        <f>R46/R36</f>
        <v>#DIV/0!</v>
      </c>
      <c r="S48" s="764"/>
      <c r="T48" s="817" t="e">
        <f>T46/(S36+T36)</f>
        <v>#DIV/0!</v>
      </c>
      <c r="U48" s="395"/>
      <c r="V48" s="817" t="e">
        <f>V46/(U36+V36)</f>
        <v>#DIV/0!</v>
      </c>
      <c r="W48" s="395"/>
      <c r="X48" s="817" t="e">
        <f>X46/(W36+X36)</f>
        <v>#DIV/0!</v>
      </c>
      <c r="Y48" s="395"/>
      <c r="Z48" s="817" t="e">
        <f>Z46/(Y36+Z36)</f>
        <v>#DIV/0!</v>
      </c>
      <c r="AA48" s="395"/>
      <c r="AB48" s="817" t="e">
        <f>AB46/(AA36+AB36)</f>
        <v>#DIV/0!</v>
      </c>
      <c r="AC48" s="395"/>
      <c r="AD48" s="817" t="e">
        <f>AD46/(AC36+AD36)</f>
        <v>#DIV/0!</v>
      </c>
      <c r="AE48" s="395"/>
      <c r="AF48" s="817" t="e">
        <f>AF46/(AE36+AF36)</f>
        <v>#DIV/0!</v>
      </c>
      <c r="AG48" s="395"/>
      <c r="AH48" s="817" t="e">
        <f>AH46/(AG36+AH36)</f>
        <v>#DIV/0!</v>
      </c>
      <c r="AI48" s="395"/>
      <c r="AJ48" s="817" t="e">
        <f>AJ46/(AI36+AJ36)</f>
        <v>#DIV/0!</v>
      </c>
      <c r="AK48" s="395"/>
      <c r="AL48" s="817" t="e">
        <f>AL46/(AK36+AL36)</f>
        <v>#DIV/0!</v>
      </c>
      <c r="AM48" s="395"/>
      <c r="AN48" s="817" t="e">
        <f>AN46/(AM36+AN36)</f>
        <v>#DIV/0!</v>
      </c>
      <c r="AO48" s="395"/>
      <c r="AP48" s="817" t="e">
        <f>AP46/(AO36+AP36)</f>
        <v>#DIV/0!</v>
      </c>
      <c r="AQ48" s="395"/>
      <c r="AR48" s="817" t="e">
        <f>AR46/(AQ36+AR36)</f>
        <v>#DIV/0!</v>
      </c>
      <c r="AS48" s="395"/>
      <c r="AT48" s="817" t="e">
        <f>AT46/(AS36+AT36)</f>
        <v>#DIV/0!</v>
      </c>
      <c r="AU48" s="395"/>
      <c r="AV48" s="817" t="e">
        <f>AV46/(AU36+AV36)</f>
        <v>#DIV/0!</v>
      </c>
      <c r="AW48" s="395"/>
      <c r="AX48" s="817" t="e">
        <f>AX46/(AW36+AX36)</f>
        <v>#DIV/0!</v>
      </c>
      <c r="AY48" s="395"/>
      <c r="AZ48" s="817" t="e">
        <f>AZ46/(AY36+AZ36)</f>
        <v>#DIV/0!</v>
      </c>
      <c r="BA48" s="395"/>
      <c r="BB48" s="817" t="e">
        <f>BB46/(BA36+BB36)</f>
        <v>#DIV/0!</v>
      </c>
      <c r="BC48" s="817" t="e">
        <f>BC46/(BB36+BC36)</f>
        <v>#DIV/0!</v>
      </c>
      <c r="BD48" s="395"/>
      <c r="BE48" s="817" t="e">
        <f>BE46/BE36</f>
        <v>#DIV/0!</v>
      </c>
      <c r="BF48" s="817" t="e">
        <f>BF46/BF36</f>
        <v>#DIV/0!</v>
      </c>
      <c r="BG48" s="395"/>
      <c r="BH48" s="817" t="e">
        <f>BH46/(BG36+BH36)</f>
        <v>#DIV/0!</v>
      </c>
      <c r="BI48" s="395"/>
      <c r="BJ48" s="817" t="e">
        <f>BJ46/(BI36+BJ36)</f>
        <v>#DIV/0!</v>
      </c>
      <c r="BK48" s="817" t="e">
        <f>BK46/BK36</f>
        <v>#DIV/0!</v>
      </c>
      <c r="BL48" s="395"/>
      <c r="BM48" s="817" t="e">
        <f>BM46/(BL36+BM36)</f>
        <v>#DIV/0!</v>
      </c>
      <c r="BN48" s="395"/>
      <c r="BO48" s="817" t="e">
        <f>BO46/(BN36+BO36)</f>
        <v>#DIV/0!</v>
      </c>
      <c r="BP48" s="817" t="e">
        <f>BP46/BP36</f>
        <v>#DIV/0!</v>
      </c>
      <c r="BQ48" s="395"/>
      <c r="BR48" s="817" t="e">
        <f>BR46/(BQ36+BR36)</f>
        <v>#DIV/0!</v>
      </c>
      <c r="BS48" s="817" t="e">
        <f>BS46/BS36</f>
        <v>#DIV/0!</v>
      </c>
      <c r="BT48" s="817" t="e">
        <f>BT46/BT36</f>
        <v>#DIV/0!</v>
      </c>
      <c r="BU48" s="817" t="e">
        <f t="shared" ref="BU48:BV48" si="134">BU46/BU36</f>
        <v>#DIV/0!</v>
      </c>
      <c r="BV48" s="817" t="e">
        <f t="shared" si="134"/>
        <v>#DIV/0!</v>
      </c>
      <c r="BW48" s="395"/>
      <c r="BX48" s="817" t="e">
        <f t="shared" ref="BX48:CE48" si="135">BX46/BX36</f>
        <v>#DIV/0!</v>
      </c>
      <c r="BY48" s="817" t="e">
        <f t="shared" si="135"/>
        <v>#DIV/0!</v>
      </c>
      <c r="BZ48" s="817" t="e">
        <f t="shared" si="135"/>
        <v>#DIV/0!</v>
      </c>
      <c r="CA48" s="817" t="e">
        <f t="shared" si="135"/>
        <v>#DIV/0!</v>
      </c>
      <c r="CB48" s="817" t="e">
        <f t="shared" si="135"/>
        <v>#DIV/0!</v>
      </c>
      <c r="CC48" s="817" t="e">
        <f t="shared" si="135"/>
        <v>#DIV/0!</v>
      </c>
      <c r="CD48" s="817" t="e">
        <f t="shared" si="135"/>
        <v>#DIV/0!</v>
      </c>
      <c r="CE48" s="817" t="e">
        <f t="shared" si="135"/>
        <v>#DIV/0!</v>
      </c>
      <c r="CF48" s="395"/>
      <c r="CG48" s="395"/>
      <c r="CH48" s="395"/>
      <c r="CI48" s="395"/>
      <c r="CJ48" s="395"/>
      <c r="CK48" s="963" t="e">
        <f>CK46/CK36</f>
        <v>#DIV/0!</v>
      </c>
      <c r="CL48" s="963" t="e">
        <f t="shared" ref="CL48:CR48" si="136">CL46/CL36</f>
        <v>#DIV/0!</v>
      </c>
      <c r="CM48" s="963" t="e">
        <f t="shared" si="136"/>
        <v>#DIV/0!</v>
      </c>
      <c r="CN48" s="963" t="e">
        <f t="shared" si="136"/>
        <v>#DIV/0!</v>
      </c>
      <c r="CO48" s="963" t="e">
        <f t="shared" si="136"/>
        <v>#DIV/0!</v>
      </c>
      <c r="CP48" s="963" t="e">
        <f t="shared" si="136"/>
        <v>#DIV/0!</v>
      </c>
      <c r="CQ48" s="963" t="e">
        <f t="shared" si="136"/>
        <v>#DIV/0!</v>
      </c>
      <c r="CR48" s="963" t="e">
        <f t="shared" si="136"/>
        <v>#DIV/0!</v>
      </c>
      <c r="CS48" s="963"/>
      <c r="CT48" s="963"/>
      <c r="CU48" s="963"/>
      <c r="CV48" s="468"/>
      <c r="CW48" s="599"/>
      <c r="CX48" s="599"/>
      <c r="CY48" s="599"/>
    </row>
    <row r="49" spans="1:103" s="2" customFormat="1" ht="60" customHeight="1" thickBot="1">
      <c r="A49" s="839"/>
      <c r="B49" s="169"/>
      <c r="C49" s="170"/>
      <c r="D49" s="171"/>
      <c r="E49" s="171"/>
      <c r="F49" s="390"/>
      <c r="G49" s="390"/>
      <c r="H49" s="390"/>
      <c r="I49" s="395"/>
      <c r="J49" s="748"/>
      <c r="K49" s="577" t="s">
        <v>170</v>
      </c>
      <c r="L49" s="394"/>
      <c r="M49" s="749"/>
      <c r="N49" s="577" t="s">
        <v>543</v>
      </c>
      <c r="O49" s="396" t="s">
        <v>462</v>
      </c>
      <c r="P49" s="395"/>
      <c r="Q49" s="577" t="s">
        <v>541</v>
      </c>
      <c r="R49" s="317" t="s">
        <v>405</v>
      </c>
      <c r="S49" s="764"/>
      <c r="T49" s="286" t="s">
        <v>409</v>
      </c>
      <c r="U49" s="764"/>
      <c r="V49" s="286" t="s">
        <v>544</v>
      </c>
      <c r="W49" s="764"/>
      <c r="X49" s="286" t="s">
        <v>614</v>
      </c>
      <c r="Y49" s="764"/>
      <c r="Z49" s="286" t="s">
        <v>615</v>
      </c>
      <c r="AA49" s="764"/>
      <c r="AB49" s="286" t="s">
        <v>545</v>
      </c>
      <c r="AC49" s="764"/>
      <c r="AD49" s="286" t="s">
        <v>546</v>
      </c>
      <c r="AE49" s="764"/>
      <c r="AF49" s="286" t="s">
        <v>547</v>
      </c>
      <c r="AG49" s="764"/>
      <c r="AH49" s="286" t="s">
        <v>548</v>
      </c>
      <c r="AI49" s="764"/>
      <c r="AJ49" s="286" t="s">
        <v>549</v>
      </c>
      <c r="AK49" s="764"/>
      <c r="AL49" s="286" t="s">
        <v>550</v>
      </c>
      <c r="AM49" s="764"/>
      <c r="AN49" s="286" t="s">
        <v>616</v>
      </c>
      <c r="AO49" s="764"/>
      <c r="AP49" s="286" t="s">
        <v>617</v>
      </c>
      <c r="AQ49" s="764"/>
      <c r="AR49" s="286" t="s">
        <v>1400</v>
      </c>
      <c r="AS49" s="764"/>
      <c r="AT49" s="286" t="s">
        <v>1392</v>
      </c>
      <c r="AU49" s="764"/>
      <c r="AV49" s="286" t="s">
        <v>1384</v>
      </c>
      <c r="AW49" s="764"/>
      <c r="AX49" s="286" t="s">
        <v>1385</v>
      </c>
      <c r="AY49" s="764"/>
      <c r="AZ49" s="286" t="s">
        <v>1386</v>
      </c>
      <c r="BA49" s="764"/>
      <c r="BB49" s="286" t="s">
        <v>1389</v>
      </c>
      <c r="BC49" s="567" t="s">
        <v>462</v>
      </c>
      <c r="BD49" s="764"/>
      <c r="BE49" s="286" t="s">
        <v>411</v>
      </c>
      <c r="BF49" s="317" t="s">
        <v>387</v>
      </c>
      <c r="BG49" s="764"/>
      <c r="BH49" s="286" t="s">
        <v>412</v>
      </c>
      <c r="BI49" s="764"/>
      <c r="BJ49" s="286" t="s">
        <v>413</v>
      </c>
      <c r="BK49" s="286" t="s">
        <v>368</v>
      </c>
      <c r="BL49" s="764"/>
      <c r="BM49" s="286" t="s">
        <v>414</v>
      </c>
      <c r="BN49" s="764"/>
      <c r="BO49" s="286" t="s">
        <v>415</v>
      </c>
      <c r="BP49" s="286" t="s">
        <v>375</v>
      </c>
      <c r="BQ49" s="764"/>
      <c r="BR49" s="286" t="s">
        <v>416</v>
      </c>
      <c r="BS49" s="317" t="s">
        <v>376</v>
      </c>
      <c r="BT49" s="567" t="str">
        <f>+BT7</f>
        <v>geriatrische Langzeit
stationär</v>
      </c>
      <c r="BU49" s="567" t="str">
        <f>+BU7</f>
        <v>Palliativ
stationär</v>
      </c>
      <c r="BV49" s="567" t="s">
        <v>108</v>
      </c>
      <c r="BW49" s="395"/>
      <c r="BX49" s="286" t="s">
        <v>81</v>
      </c>
      <c r="BY49" s="286" t="s">
        <v>417</v>
      </c>
      <c r="BZ49" s="286" t="s">
        <v>392</v>
      </c>
      <c r="CA49" s="286" t="s">
        <v>418</v>
      </c>
      <c r="CB49" s="286" t="s">
        <v>420</v>
      </c>
      <c r="CC49" s="286" t="s">
        <v>419</v>
      </c>
      <c r="CD49" s="286" t="s">
        <v>395</v>
      </c>
      <c r="CE49" s="317" t="str">
        <f>+CE7</f>
        <v>Total 
Tageskliniken Psychiatrie</v>
      </c>
      <c r="CF49" s="395"/>
      <c r="CG49" s="395"/>
      <c r="CH49" s="822"/>
      <c r="CI49" s="822"/>
      <c r="CJ49" s="823"/>
      <c r="CK49" s="823"/>
      <c r="CL49" s="823"/>
      <c r="CM49" s="823"/>
      <c r="CN49" s="823"/>
      <c r="CO49" s="823"/>
      <c r="CP49" s="823"/>
      <c r="CQ49" s="823"/>
      <c r="CR49" s="823"/>
      <c r="CS49" s="823"/>
      <c r="CT49" s="823"/>
      <c r="CU49" s="823"/>
      <c r="CV49" s="823"/>
      <c r="CW49" s="599"/>
      <c r="CX49" s="599"/>
      <c r="CY49" s="599"/>
    </row>
    <row r="50" spans="1:103" s="2" customFormat="1">
      <c r="A50" s="1362" t="s">
        <v>104</v>
      </c>
      <c r="B50" s="716" t="s">
        <v>169</v>
      </c>
      <c r="C50" s="717"/>
      <c r="D50" s="717"/>
      <c r="E50" s="718"/>
      <c r="F50" s="390"/>
      <c r="G50" s="390"/>
      <c r="H50" s="390"/>
      <c r="I50" s="395"/>
      <c r="J50" s="748"/>
      <c r="K50" s="1069"/>
      <c r="L50" s="394"/>
      <c r="M50" s="749"/>
      <c r="N50" s="1070"/>
      <c r="O50" s="1071" t="e">
        <f>+O40</f>
        <v>#DIV/0!</v>
      </c>
      <c r="P50" s="391"/>
      <c r="Q50" s="1072"/>
      <c r="R50" s="1072"/>
      <c r="S50" s="391"/>
      <c r="T50" s="398" t="e">
        <f>+T40</f>
        <v>#DIV/0!</v>
      </c>
      <c r="U50" s="393"/>
      <c r="V50" s="398" t="e">
        <f>+V40</f>
        <v>#DIV/0!</v>
      </c>
      <c r="W50" s="391"/>
      <c r="X50" s="398" t="e">
        <f>+X40</f>
        <v>#DIV/0!</v>
      </c>
      <c r="Y50" s="393"/>
      <c r="Z50" s="398" t="e">
        <f>+Z40</f>
        <v>#DIV/0!</v>
      </c>
      <c r="AA50" s="391"/>
      <c r="AB50" s="398" t="e">
        <f>+AB40</f>
        <v>#DIV/0!</v>
      </c>
      <c r="AC50" s="393"/>
      <c r="AD50" s="398" t="e">
        <f>+AD40</f>
        <v>#DIV/0!</v>
      </c>
      <c r="AE50" s="391"/>
      <c r="AF50" s="398" t="e">
        <f>+AF40</f>
        <v>#DIV/0!</v>
      </c>
      <c r="AG50" s="393"/>
      <c r="AH50" s="398" t="e">
        <f>+AH40</f>
        <v>#DIV/0!</v>
      </c>
      <c r="AI50" s="391"/>
      <c r="AJ50" s="398" t="e">
        <f>+AJ40</f>
        <v>#DIV/0!</v>
      </c>
      <c r="AK50" s="393"/>
      <c r="AL50" s="398" t="e">
        <f>+AL40</f>
        <v>#DIV/0!</v>
      </c>
      <c r="AM50" s="391"/>
      <c r="AN50" s="398" t="e">
        <f>+AN40</f>
        <v>#DIV/0!</v>
      </c>
      <c r="AO50" s="393"/>
      <c r="AP50" s="398" t="e">
        <f>+AP40</f>
        <v>#DIV/0!</v>
      </c>
      <c r="AQ50" s="393"/>
      <c r="AR50" s="398" t="e">
        <f t="shared" ref="AR50" si="137">+AR40</f>
        <v>#DIV/0!</v>
      </c>
      <c r="AS50" s="393"/>
      <c r="AT50" s="398" t="e">
        <f t="shared" ref="AT50" si="138">+AT40</f>
        <v>#DIV/0!</v>
      </c>
      <c r="AU50" s="393"/>
      <c r="AV50" s="398" t="e">
        <f t="shared" ref="AV50" si="139">+AV40</f>
        <v>#DIV/0!</v>
      </c>
      <c r="AW50" s="393"/>
      <c r="AX50" s="398" t="e">
        <f t="shared" ref="AX50" si="140">+AX40</f>
        <v>#DIV/0!</v>
      </c>
      <c r="AY50" s="393"/>
      <c r="AZ50" s="398" t="e">
        <f t="shared" ref="AZ50" si="141">+AZ40</f>
        <v>#DIV/0!</v>
      </c>
      <c r="BA50" s="393"/>
      <c r="BB50" s="398" t="e">
        <f t="shared" ref="BB50" si="142">+BB40</f>
        <v>#DIV/0!</v>
      </c>
      <c r="BC50" s="1071" t="e">
        <f>+BC40</f>
        <v>#DIV/0!</v>
      </c>
      <c r="BD50" s="391"/>
      <c r="BE50" s="398" t="e">
        <f>+BE40</f>
        <v>#DIV/0!</v>
      </c>
      <c r="BF50" s="398" t="e">
        <f>+BF40</f>
        <v>#DIV/0!</v>
      </c>
      <c r="BG50" s="391"/>
      <c r="BH50" s="398" t="e">
        <f>+BH40</f>
        <v>#DIV/0!</v>
      </c>
      <c r="BI50" s="391"/>
      <c r="BJ50" s="398" t="e">
        <f>+BJ40</f>
        <v>#DIV/0!</v>
      </c>
      <c r="BK50" s="398" t="e">
        <f>+BK40</f>
        <v>#DIV/0!</v>
      </c>
      <c r="BL50" s="391"/>
      <c r="BM50" s="398" t="e">
        <f>+BM40</f>
        <v>#DIV/0!</v>
      </c>
      <c r="BN50" s="391"/>
      <c r="BO50" s="398" t="e">
        <f>+BO40</f>
        <v>#DIV/0!</v>
      </c>
      <c r="BP50" s="398" t="e">
        <f>+BP40</f>
        <v>#DIV/0!</v>
      </c>
      <c r="BQ50" s="393"/>
      <c r="BR50" s="398" t="e">
        <f>+BR40</f>
        <v>#DIV/0!</v>
      </c>
      <c r="BS50" s="398" t="e">
        <f>+BS40</f>
        <v>#DIV/0!</v>
      </c>
      <c r="BT50" s="398" t="e">
        <f>+BT40</f>
        <v>#DIV/0!</v>
      </c>
      <c r="BU50" s="398" t="e">
        <f>+BU40</f>
        <v>#DIV/0!</v>
      </c>
      <c r="BV50" s="398" t="e">
        <f>+BV40</f>
        <v>#DIV/0!</v>
      </c>
      <c r="BW50" s="395"/>
      <c r="BX50" s="398" t="e">
        <f t="shared" ref="BX50:CE50" si="143">+BX40</f>
        <v>#DIV/0!</v>
      </c>
      <c r="BY50" s="398" t="e">
        <f t="shared" si="143"/>
        <v>#DIV/0!</v>
      </c>
      <c r="BZ50" s="398" t="e">
        <f t="shared" si="143"/>
        <v>#DIV/0!</v>
      </c>
      <c r="CA50" s="398" t="e">
        <f t="shared" si="143"/>
        <v>#DIV/0!</v>
      </c>
      <c r="CB50" s="398" t="e">
        <f t="shared" si="143"/>
        <v>#DIV/0!</v>
      </c>
      <c r="CC50" s="398" t="e">
        <f t="shared" si="143"/>
        <v>#DIV/0!</v>
      </c>
      <c r="CD50" s="398" t="e">
        <f t="shared" si="143"/>
        <v>#DIV/0!</v>
      </c>
      <c r="CE50" s="398" t="e">
        <f t="shared" si="143"/>
        <v>#DIV/0!</v>
      </c>
      <c r="CF50" s="395"/>
      <c r="CG50" s="395"/>
      <c r="CH50" s="375"/>
      <c r="CI50" s="398"/>
      <c r="CJ50" s="375"/>
      <c r="CK50" s="606"/>
      <c r="CL50" s="606"/>
      <c r="CM50" s="606"/>
      <c r="CN50" s="606"/>
      <c r="CO50" s="606"/>
      <c r="CP50" s="606"/>
      <c r="CQ50" s="606"/>
      <c r="CR50" s="606"/>
      <c r="CS50" s="376"/>
      <c r="CT50" s="375"/>
      <c r="CU50" s="905"/>
      <c r="CV50" s="605"/>
      <c r="CW50" s="599"/>
      <c r="CX50" s="599"/>
      <c r="CY50" s="599"/>
    </row>
    <row r="51" spans="1:103" s="29" customFormat="1">
      <c r="A51" s="1363"/>
      <c r="B51" s="1020" t="s">
        <v>2055</v>
      </c>
      <c r="C51" s="171"/>
      <c r="D51" s="171"/>
      <c r="E51" s="533"/>
      <c r="F51" s="390"/>
      <c r="G51" s="390"/>
      <c r="H51" s="390"/>
      <c r="I51" s="395"/>
      <c r="J51" s="136"/>
      <c r="K51" s="399"/>
      <c r="L51" s="394"/>
      <c r="M51" s="750"/>
      <c r="N51" s="375"/>
      <c r="O51" s="375"/>
      <c r="P51" s="391"/>
      <c r="Q51" s="375"/>
      <c r="R51" s="398"/>
      <c r="S51" s="391"/>
      <c r="T51" s="375"/>
      <c r="U51" s="393"/>
      <c r="V51" s="375"/>
      <c r="W51" s="391"/>
      <c r="X51" s="375"/>
      <c r="Y51" s="393"/>
      <c r="Z51" s="375"/>
      <c r="AA51" s="391"/>
      <c r="AB51" s="375"/>
      <c r="AC51" s="393"/>
      <c r="AD51" s="375"/>
      <c r="AE51" s="391"/>
      <c r="AF51" s="375"/>
      <c r="AG51" s="393"/>
      <c r="AH51" s="375"/>
      <c r="AI51" s="391"/>
      <c r="AJ51" s="375"/>
      <c r="AK51" s="393"/>
      <c r="AL51" s="375"/>
      <c r="AM51" s="391"/>
      <c r="AN51" s="375"/>
      <c r="AO51" s="393"/>
      <c r="AP51" s="375"/>
      <c r="AQ51" s="393"/>
      <c r="AR51" s="399"/>
      <c r="AS51" s="393"/>
      <c r="AT51" s="399"/>
      <c r="AU51" s="393"/>
      <c r="AV51" s="399"/>
      <c r="AW51" s="393"/>
      <c r="AX51" s="399"/>
      <c r="AY51" s="393"/>
      <c r="AZ51" s="399"/>
      <c r="BA51" s="393"/>
      <c r="BB51" s="399"/>
      <c r="BC51" s="399"/>
      <c r="BD51" s="391"/>
      <c r="BE51" s="375"/>
      <c r="BF51" s="399"/>
      <c r="BG51" s="391"/>
      <c r="BH51" s="375"/>
      <c r="BI51" s="393"/>
      <c r="BJ51" s="375"/>
      <c r="BK51" s="375"/>
      <c r="BL51" s="391"/>
      <c r="BM51" s="375"/>
      <c r="BN51" s="393"/>
      <c r="BO51" s="375"/>
      <c r="BP51" s="375"/>
      <c r="BQ51" s="393"/>
      <c r="BR51" s="375"/>
      <c r="BS51" s="399"/>
      <c r="BT51" s="375"/>
      <c r="BU51" s="375"/>
      <c r="BV51" s="375"/>
      <c r="BW51" s="395"/>
      <c r="BX51" s="375"/>
      <c r="BY51" s="375"/>
      <c r="BZ51" s="375"/>
      <c r="CA51" s="375"/>
      <c r="CB51" s="375"/>
      <c r="CC51" s="375"/>
      <c r="CD51" s="375"/>
      <c r="CE51" s="375"/>
      <c r="CF51" s="395"/>
      <c r="CG51" s="395"/>
      <c r="CH51" s="375"/>
      <c r="CI51" s="398"/>
      <c r="CJ51" s="398"/>
      <c r="CK51" s="607" t="e">
        <f>IF('KTR-Ausweis Gesamtansicht'!$C$69="REKOLE",CK44,CK48)</f>
        <v>#DIV/0!</v>
      </c>
      <c r="CL51" s="607" t="e">
        <f>IF('KTR-Ausweis Gesamtansicht'!$C$69="REKOLE",CL44,CL48)</f>
        <v>#DIV/0!</v>
      </c>
      <c r="CM51" s="607" t="e">
        <f>IF('KTR-Ausweis Gesamtansicht'!$C$69="REKOLE",CM44,CM48)</f>
        <v>#DIV/0!</v>
      </c>
      <c r="CN51" s="607" t="e">
        <f>IF('KTR-Ausweis Gesamtansicht'!$C$69="REKOLE",CN44,CN48)</f>
        <v>#DIV/0!</v>
      </c>
      <c r="CO51" s="607" t="e">
        <f>IF('KTR-Ausweis Gesamtansicht'!$C$69="REKOLE",CO44,CO48)</f>
        <v>#DIV/0!</v>
      </c>
      <c r="CP51" s="607" t="e">
        <f>IF('KTR-Ausweis Gesamtansicht'!$C$69="REKOLE",CP44,CP48)</f>
        <v>#DIV/0!</v>
      </c>
      <c r="CQ51" s="607" t="e">
        <f>IF('KTR-Ausweis Gesamtansicht'!$C$69="REKOLE",CQ44,CQ48)</f>
        <v>#DIV/0!</v>
      </c>
      <c r="CR51" s="608" t="e">
        <f>IF('KTR-Ausweis Gesamtansicht'!$C$69="REKOLE",CR44,CR48)</f>
        <v>#DIV/0!</v>
      </c>
      <c r="CS51" s="1003" t="e">
        <f>IF('KTR-Ausweis Gesamtansicht'!$C$69="REKOLE",CS42,CS46)</f>
        <v>#DIV/0!</v>
      </c>
      <c r="CT51" s="1003" t="e">
        <f>IF('KTR-Ausweis Gesamtansicht'!$C$69="REKOLE",CT42,CT46)</f>
        <v>#DIV/0!</v>
      </c>
      <c r="CU51" s="906" t="e">
        <f>IF('KTR-Ausweis Gesamtansicht'!$C$69="REKOLE",CU42,CU46)</f>
        <v>#DIV/0!</v>
      </c>
      <c r="CV51" s="605"/>
      <c r="CW51" s="601"/>
      <c r="CX51" s="601"/>
      <c r="CY51" s="601"/>
    </row>
    <row r="52" spans="1:103">
      <c r="A52" s="1363"/>
      <c r="B52" s="534" t="s">
        <v>2047</v>
      </c>
      <c r="C52" s="253"/>
      <c r="D52" s="253"/>
      <c r="E52" s="358"/>
      <c r="F52" s="401"/>
      <c r="G52" s="401"/>
      <c r="H52" s="401"/>
      <c r="I52" s="415"/>
      <c r="J52" s="138"/>
      <c r="K52" s="320" t="e">
        <f>+J70*K50</f>
        <v>#DIV/0!</v>
      </c>
      <c r="L52" s="405"/>
      <c r="M52" s="751"/>
      <c r="N52" s="320" t="e">
        <f>+N50*M70</f>
        <v>#DIV/0!</v>
      </c>
      <c r="O52" s="320" t="e">
        <f>+O50*O70</f>
        <v>#DIV/0!</v>
      </c>
      <c r="P52" s="402"/>
      <c r="Q52" s="320" t="e">
        <f>+Q70*Q50</f>
        <v>#DIV/0!</v>
      </c>
      <c r="R52" s="320" t="e">
        <f>+(K52*(K36)+N52*(N36)+O52*O36+(P36+Q36)*Q52)/R36</f>
        <v>#DIV/0!</v>
      </c>
      <c r="S52" s="404"/>
      <c r="T52" s="320" t="e">
        <f>+T70*T50</f>
        <v>#DIV/0!</v>
      </c>
      <c r="U52" s="321"/>
      <c r="V52" s="320" t="e">
        <f>+V50*V70</f>
        <v>#DIV/0!</v>
      </c>
      <c r="W52" s="404"/>
      <c r="X52" s="320" t="e">
        <f>+X70*X50</f>
        <v>#DIV/0!</v>
      </c>
      <c r="Y52" s="321"/>
      <c r="Z52" s="320" t="e">
        <f>+Z50*Z70</f>
        <v>#DIV/0!</v>
      </c>
      <c r="AA52" s="404"/>
      <c r="AB52" s="320" t="e">
        <f>+AB70*AB50</f>
        <v>#DIV/0!</v>
      </c>
      <c r="AC52" s="321"/>
      <c r="AD52" s="320" t="e">
        <f>+AD50*AD70</f>
        <v>#DIV/0!</v>
      </c>
      <c r="AE52" s="404"/>
      <c r="AF52" s="320" t="e">
        <f>+AF70*AF50</f>
        <v>#DIV/0!</v>
      </c>
      <c r="AG52" s="321"/>
      <c r="AH52" s="320" t="e">
        <f>+AH50*AH70</f>
        <v>#DIV/0!</v>
      </c>
      <c r="AI52" s="404"/>
      <c r="AJ52" s="320" t="e">
        <f>+AJ70*AJ50</f>
        <v>#DIV/0!</v>
      </c>
      <c r="AK52" s="321"/>
      <c r="AL52" s="320" t="e">
        <f>+AL50*AL70</f>
        <v>#DIV/0!</v>
      </c>
      <c r="AM52" s="404"/>
      <c r="AN52" s="320" t="e">
        <f>+AN70*AN50</f>
        <v>#DIV/0!</v>
      </c>
      <c r="AO52" s="321"/>
      <c r="AP52" s="320" t="e">
        <f>+AP50*AP70</f>
        <v>#DIV/0!</v>
      </c>
      <c r="AQ52" s="321"/>
      <c r="AR52" s="320" t="e">
        <f t="shared" ref="AR52" si="144">+AR50*AR70</f>
        <v>#DIV/0!</v>
      </c>
      <c r="AS52" s="321"/>
      <c r="AT52" s="320" t="e">
        <f t="shared" ref="AT52" si="145">+AT50*AT70</f>
        <v>#DIV/0!</v>
      </c>
      <c r="AU52" s="321"/>
      <c r="AV52" s="320" t="e">
        <f t="shared" ref="AV52" si="146">+AV50*AV70</f>
        <v>#DIV/0!</v>
      </c>
      <c r="AW52" s="321"/>
      <c r="AX52" s="320" t="e">
        <f t="shared" ref="AX52" si="147">+AX50*AX70</f>
        <v>#DIV/0!</v>
      </c>
      <c r="AY52" s="321"/>
      <c r="AZ52" s="320" t="e">
        <f t="shared" ref="AZ52" si="148">+AZ50*AZ70</f>
        <v>#DIV/0!</v>
      </c>
      <c r="BA52" s="321"/>
      <c r="BB52" s="320" t="e">
        <f t="shared" ref="BB52" si="149">+BB50*BB70</f>
        <v>#DIV/0!</v>
      </c>
      <c r="BC52" s="320" t="e">
        <f>+BC50*BC70</f>
        <v>#DIV/0!</v>
      </c>
      <c r="BD52" s="404"/>
      <c r="BE52" s="320" t="e">
        <f>+BE70*BE50</f>
        <v>#DIV/0!</v>
      </c>
      <c r="BF52" s="320" t="e">
        <f>+BF70*BF50</f>
        <v>#DIV/0!</v>
      </c>
      <c r="BG52" s="404"/>
      <c r="BH52" s="320" t="e">
        <f>+BH70*BH50</f>
        <v>#DIV/0!</v>
      </c>
      <c r="BI52" s="321"/>
      <c r="BJ52" s="320" t="e">
        <f>+BJ50*BJ70</f>
        <v>#DIV/0!</v>
      </c>
      <c r="BK52" s="320" t="e">
        <f>+BK50*BK70</f>
        <v>#DIV/0!</v>
      </c>
      <c r="BL52" s="404"/>
      <c r="BM52" s="320" t="e">
        <f>+BM70*BM50</f>
        <v>#DIV/0!</v>
      </c>
      <c r="BN52" s="321"/>
      <c r="BO52" s="320" t="e">
        <f>+BO50*BO70</f>
        <v>#DIV/0!</v>
      </c>
      <c r="BP52" s="320" t="e">
        <f>+BP50*BP70</f>
        <v>#DIV/0!</v>
      </c>
      <c r="BQ52" s="321"/>
      <c r="BR52" s="320" t="e">
        <f>+BR50*BR70</f>
        <v>#DIV/0!</v>
      </c>
      <c r="BS52" s="320" t="e">
        <f>+BS70*BS50</f>
        <v>#DIV/0!</v>
      </c>
      <c r="BT52" s="320" t="e">
        <f>+BT40*BT70</f>
        <v>#DIV/0!</v>
      </c>
      <c r="BU52" s="320" t="e">
        <f>+BU40*BU70</f>
        <v>#DIV/0!</v>
      </c>
      <c r="BV52" s="320" t="e">
        <f>+BV40*BV70</f>
        <v>#DIV/0!</v>
      </c>
      <c r="BW52" s="767"/>
      <c r="BX52" s="320" t="e">
        <f t="shared" ref="BX52:CE52" si="150">+BX40*BX70</f>
        <v>#DIV/0!</v>
      </c>
      <c r="BY52" s="320" t="e">
        <f t="shared" si="150"/>
        <v>#DIV/0!</v>
      </c>
      <c r="BZ52" s="320" t="e">
        <f t="shared" si="150"/>
        <v>#DIV/0!</v>
      </c>
      <c r="CA52" s="320" t="e">
        <f t="shared" si="150"/>
        <v>#DIV/0!</v>
      </c>
      <c r="CB52" s="320" t="e">
        <f t="shared" si="150"/>
        <v>#DIV/0!</v>
      </c>
      <c r="CC52" s="320" t="e">
        <f t="shared" si="150"/>
        <v>#DIV/0!</v>
      </c>
      <c r="CD52" s="320" t="e">
        <f t="shared" si="150"/>
        <v>#DIV/0!</v>
      </c>
      <c r="CE52" s="320" t="e">
        <f t="shared" si="150"/>
        <v>#DIV/0!</v>
      </c>
      <c r="CF52" s="767"/>
      <c r="CG52" s="767"/>
      <c r="CH52" s="351" t="e">
        <f>+CH35*CH70-CT35*CT70-CU35*CU70</f>
        <v>#DIV/0!</v>
      </c>
      <c r="CI52" s="351" t="e">
        <f>BF36*BF52+BS36*BS52+BT36*BT52+BU36*BU52+BV36*BV52+CE36*CE52+R36*R52+CH52</f>
        <v>#DIV/0!</v>
      </c>
      <c r="CJ52" s="351" t="e">
        <f>K36*K52+N36*N52+O36*O52+(P36+Q36)*Q52+(S36+T36)*T52+(U36+V36)*V52+(W36+X36)*X52+(Y36+Z36)*Z52+(AA36+AB36)*AB52+(AC36+AD36)*AD52+(AE36+AF36)*AF52+(AG36+AH36)*AH52+(AI36+AJ36)*AJ52+(AK36+AL36)*AL52+(AM36+AN36)*AN52+(AO36+AP36)*AP52+(AQ36+AR36)*AR52+(AS36+AT36)*AT52+(AU36+AV36)*AV52+(AW36+AX36)*AX52+(AY36+AZ36)*AZ52+(BA36+BB36)*BB52+BC36*BC52+(BD36+BE36)*BE52+(BG36+BH36)*BH52+(BI36+BJ36)*BJ52+BK36*BK52+(BL36+BM36)*BM52+(BN36+BO36)*BO52+BP36*BP52+(BQ36+BR36)*BR52+BT36*BT52+BU36*BU52+BV36*BV52+BX36*BX52+BY36*BY52+BZ36*BZ52+CA36*CA52+CB36*CB52+CC36*CC52+CD36*CD52+CH52-CI52</f>
        <v>#DIV/0!</v>
      </c>
      <c r="CK52" s="609" t="e">
        <f>+CK51*CK70</f>
        <v>#DIV/0!</v>
      </c>
      <c r="CL52" s="609" t="e">
        <f>+CL51*CL70</f>
        <v>#DIV/0!</v>
      </c>
      <c r="CM52" s="609" t="e">
        <f t="shared" ref="CM52:CR52" si="151">+CM51*CM70</f>
        <v>#DIV/0!</v>
      </c>
      <c r="CN52" s="609" t="e">
        <f t="shared" si="151"/>
        <v>#DIV/0!</v>
      </c>
      <c r="CO52" s="609" t="e">
        <f t="shared" si="151"/>
        <v>#DIV/0!</v>
      </c>
      <c r="CP52" s="609" t="e">
        <f>+CP51*CP70</f>
        <v>#DIV/0!</v>
      </c>
      <c r="CQ52" s="609" t="e">
        <f t="shared" si="151"/>
        <v>#DIV/0!</v>
      </c>
      <c r="CR52" s="609" t="e">
        <f t="shared" si="151"/>
        <v>#DIV/0!</v>
      </c>
      <c r="CS52" s="364" t="e">
        <f>+CS35*CS70</f>
        <v>#DIV/0!</v>
      </c>
      <c r="CT52" s="429"/>
      <c r="CU52" s="1004"/>
      <c r="CV52" s="902" t="e">
        <f>+$CK$36*CK52+$CL$36*CL52+$CM$36*CM52+$CN$36*CN52+$CO$36*CO52+$CP$36*CP52+$CQ$36*CQ52+$CR$36*CR52+CS52+CT52+CU52-CH52</f>
        <v>#DIV/0!</v>
      </c>
      <c r="CW52" s="431"/>
      <c r="CX52" s="431"/>
      <c r="CY52" s="431"/>
    </row>
    <row r="53" spans="1:103">
      <c r="A53" s="1363"/>
      <c r="B53" s="534" t="s">
        <v>115</v>
      </c>
      <c r="C53" s="623"/>
      <c r="D53" s="253"/>
      <c r="E53" s="358"/>
      <c r="F53" s="401"/>
      <c r="G53" s="401"/>
      <c r="H53" s="401"/>
      <c r="I53" s="415"/>
      <c r="J53" s="138"/>
      <c r="K53" s="320">
        <f>IF(J71=0,0,+J71/(I36+J36))</f>
        <v>0</v>
      </c>
      <c r="L53" s="405"/>
      <c r="M53" s="751"/>
      <c r="N53" s="320">
        <f>IF(M71=0,0,+M71/(L36+M36))</f>
        <v>0</v>
      </c>
      <c r="O53" s="320">
        <f>IF(O71=0,0,+O71/+O36)</f>
        <v>0</v>
      </c>
      <c r="P53" s="402"/>
      <c r="Q53" s="320">
        <f>IF(Q71=0,0,+Q71/(P36+Q36))</f>
        <v>0</v>
      </c>
      <c r="R53" s="320">
        <f>IF(R71=0,0,+R71/+R36)</f>
        <v>0</v>
      </c>
      <c r="S53" s="404"/>
      <c r="T53" s="320">
        <f>IF(T71=0,0,+T71/(S36+T36))</f>
        <v>0</v>
      </c>
      <c r="U53" s="321"/>
      <c r="V53" s="320">
        <f>IF(V71=0,0,+V71/(U36+V36))</f>
        <v>0</v>
      </c>
      <c r="W53" s="404"/>
      <c r="X53" s="320">
        <f>IF(X71=0,0,+X71/(W36+X36))</f>
        <v>0</v>
      </c>
      <c r="Y53" s="321"/>
      <c r="Z53" s="320">
        <f>IF(Z71=0,0,+Z71/(Y36+Z36))</f>
        <v>0</v>
      </c>
      <c r="AA53" s="404"/>
      <c r="AB53" s="320">
        <f>IF(AB71=0,0,+AB71/(AA36+AB36))</f>
        <v>0</v>
      </c>
      <c r="AC53" s="321"/>
      <c r="AD53" s="320">
        <f>IF(AD71=0,0,+AD71/(AC36+AD36))</f>
        <v>0</v>
      </c>
      <c r="AE53" s="404"/>
      <c r="AF53" s="320">
        <f>IF(AF71=0,0,+AF71/(AE36+AF36))</f>
        <v>0</v>
      </c>
      <c r="AG53" s="321"/>
      <c r="AH53" s="320">
        <f>IF(AH71=0,0,+AH71/(AG36+AH36))</f>
        <v>0</v>
      </c>
      <c r="AI53" s="404"/>
      <c r="AJ53" s="320">
        <f>IF(AJ71=0,0,+AJ71/(AI36+AJ36))</f>
        <v>0</v>
      </c>
      <c r="AK53" s="321"/>
      <c r="AL53" s="320">
        <f>IF(AL71=0,0,+AL71/(AK36+AL36))</f>
        <v>0</v>
      </c>
      <c r="AM53" s="404"/>
      <c r="AN53" s="320">
        <f>IF(AN71=0,0,+AN71/(AM36+AN36))</f>
        <v>0</v>
      </c>
      <c r="AO53" s="321"/>
      <c r="AP53" s="320">
        <f>IF(AP71=0,0,+AP71/(AO36+AP36))</f>
        <v>0</v>
      </c>
      <c r="AQ53" s="321"/>
      <c r="AR53" s="320">
        <f t="shared" ref="AR53" si="152">IF(AR71=0,0,+AR71/(AQ36+AR36))</f>
        <v>0</v>
      </c>
      <c r="AS53" s="321"/>
      <c r="AT53" s="320">
        <f t="shared" ref="AT53" si="153">IF(AT71=0,0,+AT71/(AS36+AT36))</f>
        <v>0</v>
      </c>
      <c r="AU53" s="321"/>
      <c r="AV53" s="320">
        <f t="shared" ref="AV53" si="154">IF(AV71=0,0,+AV71/(AU36+AV36))</f>
        <v>0</v>
      </c>
      <c r="AW53" s="321"/>
      <c r="AX53" s="320">
        <f t="shared" ref="AX53" si="155">IF(AX71=0,0,+AX71/(AW36+AX36))</f>
        <v>0</v>
      </c>
      <c r="AY53" s="321"/>
      <c r="AZ53" s="320">
        <f t="shared" ref="AZ53" si="156">IF(AZ71=0,0,+AZ71/(AY36+AZ36))</f>
        <v>0</v>
      </c>
      <c r="BA53" s="321"/>
      <c r="BB53" s="320">
        <f t="shared" ref="BB53" si="157">IF(BB71=0,0,+BB71/(BA36+BB36))</f>
        <v>0</v>
      </c>
      <c r="BC53" s="320">
        <f>IF(BC71=0,0,+BC71/(AP36+BC36))</f>
        <v>0</v>
      </c>
      <c r="BD53" s="404"/>
      <c r="BE53" s="320">
        <f>IF(BE71=0,0,+BE71/(BD36+BE36))</f>
        <v>0</v>
      </c>
      <c r="BF53" s="320">
        <f>IF(BF71=0,0,+BF71/+BF36)</f>
        <v>0</v>
      </c>
      <c r="BG53" s="404"/>
      <c r="BH53" s="320">
        <f>IF(BH71=0,0,+BH71/(BG36+BH36))</f>
        <v>0</v>
      </c>
      <c r="BI53" s="321"/>
      <c r="BJ53" s="320">
        <f>IF(BJ71=0,0,+BJ71/(BI36+BJ36))</f>
        <v>0</v>
      </c>
      <c r="BK53" s="320">
        <f>IF(BK71=0,0,+BK71/+BK36)</f>
        <v>0</v>
      </c>
      <c r="BL53" s="404"/>
      <c r="BM53" s="320">
        <f>IF(BM71=0,0,+BM71/(BL36+BM36))</f>
        <v>0</v>
      </c>
      <c r="BN53" s="321"/>
      <c r="BO53" s="320">
        <f>IF(BO71=0,0,+BO71/(BN36+BO36))</f>
        <v>0</v>
      </c>
      <c r="BP53" s="320">
        <f>IF(BP71=0,0,+BP71/+BP36)</f>
        <v>0</v>
      </c>
      <c r="BQ53" s="321"/>
      <c r="BR53" s="320">
        <f>IF(BR71=0,0,+BR71/(BQ36+BR36))</f>
        <v>0</v>
      </c>
      <c r="BS53" s="320">
        <f>IF(BS71=0,0,+BS71/+BS36)</f>
        <v>0</v>
      </c>
      <c r="BT53" s="320">
        <f>IF(BT71=0,0,+BT71/+BT36)</f>
        <v>0</v>
      </c>
      <c r="BU53" s="320">
        <f>IF(BU71=0,0,+BU71/+BU36)</f>
        <v>0</v>
      </c>
      <c r="BV53" s="320">
        <f>IF(BV71=0,0,+BV71/+BV36)</f>
        <v>0</v>
      </c>
      <c r="BW53" s="767"/>
      <c r="BX53" s="320">
        <f t="shared" ref="BX53:CE53" si="158">IF(BX71=0,0,+BX71/+BX36)</f>
        <v>0</v>
      </c>
      <c r="BY53" s="320">
        <f t="shared" si="158"/>
        <v>0</v>
      </c>
      <c r="BZ53" s="320">
        <f t="shared" si="158"/>
        <v>0</v>
      </c>
      <c r="CA53" s="320">
        <f t="shared" si="158"/>
        <v>0</v>
      </c>
      <c r="CB53" s="320">
        <f t="shared" si="158"/>
        <v>0</v>
      </c>
      <c r="CC53" s="320">
        <f t="shared" si="158"/>
        <v>0</v>
      </c>
      <c r="CD53" s="320">
        <f t="shared" si="158"/>
        <v>0</v>
      </c>
      <c r="CE53" s="320">
        <f t="shared" si="158"/>
        <v>0</v>
      </c>
      <c r="CF53" s="767"/>
      <c r="CG53" s="767"/>
      <c r="CH53" s="351">
        <f>+CH71</f>
        <v>0</v>
      </c>
      <c r="CI53" s="351">
        <f>+CH53+BV53*BV36+BU53*BU36+BT53*BT36+CE53*CE36+BS53*BS36+BF53*BF36+R53*R36</f>
        <v>0</v>
      </c>
      <c r="CJ53" s="351">
        <f>+CI53-E71</f>
        <v>0</v>
      </c>
      <c r="CK53" s="609">
        <f t="shared" ref="CK53:CR53" si="159">IF(CK36=0,0,+$CH$71/SUM($CK$35:$CS$35)*CK35/CK36)</f>
        <v>0</v>
      </c>
      <c r="CL53" s="609">
        <f t="shared" si="159"/>
        <v>0</v>
      </c>
      <c r="CM53" s="609">
        <f t="shared" si="159"/>
        <v>0</v>
      </c>
      <c r="CN53" s="609">
        <f t="shared" si="159"/>
        <v>0</v>
      </c>
      <c r="CO53" s="609">
        <f t="shared" si="159"/>
        <v>0</v>
      </c>
      <c r="CP53" s="609">
        <f>IF(CP36=0,0,+$CH$71/SUM($CK$35:$CS$35)*CP35/CP36)</f>
        <v>0</v>
      </c>
      <c r="CQ53" s="609">
        <f t="shared" si="159"/>
        <v>0</v>
      </c>
      <c r="CR53" s="609">
        <f t="shared" si="159"/>
        <v>0</v>
      </c>
      <c r="CS53" s="610">
        <f>IF(CS36=0,0,+$CH$71/SUM($CK$35:$CS$35)*CS35)</f>
        <v>0</v>
      </c>
      <c r="CT53" s="1005"/>
      <c r="CU53" s="1006"/>
      <c r="CV53" s="902">
        <f>+$CK$36*CK53+$CL$36*CL53+$CM$36*CM53+$CN$36*CN53+$CO$36*CO53+$CP$36*CP53+$CQ$36*CQ53+$CR$36*CR53+CS53-CH53</f>
        <v>0</v>
      </c>
      <c r="CW53" s="431"/>
      <c r="CX53" s="431"/>
      <c r="CY53" s="431"/>
    </row>
    <row r="54" spans="1:103">
      <c r="A54" s="1363"/>
      <c r="B54" s="534" t="s">
        <v>116</v>
      </c>
      <c r="C54" s="623"/>
      <c r="D54" s="253"/>
      <c r="E54" s="358"/>
      <c r="F54" s="401"/>
      <c r="G54" s="401"/>
      <c r="H54" s="401"/>
      <c r="I54" s="415"/>
      <c r="J54" s="138"/>
      <c r="K54" s="320">
        <f>IF(J72=0,0,+J72/(I36+J36))</f>
        <v>0</v>
      </c>
      <c r="L54" s="405"/>
      <c r="M54" s="751"/>
      <c r="N54" s="320">
        <f>IF(M72=0,0,+M72/(L36+M36))</f>
        <v>0</v>
      </c>
      <c r="O54" s="320">
        <f>IF(O72=0,0,+O72/+O36)</f>
        <v>0</v>
      </c>
      <c r="P54" s="402"/>
      <c r="Q54" s="320">
        <f>IF(Q72=0,0,+Q72/(P36+Q36))</f>
        <v>0</v>
      </c>
      <c r="R54" s="320">
        <f>IF(R72=0,0,+R72/+R36)</f>
        <v>0</v>
      </c>
      <c r="S54" s="404"/>
      <c r="T54" s="320">
        <f>IF(T72=0,0,+T72/(S36+T36))</f>
        <v>0</v>
      </c>
      <c r="U54" s="321"/>
      <c r="V54" s="320">
        <f>IF(V72=0,0,+V72/(U36+V36))</f>
        <v>0</v>
      </c>
      <c r="W54" s="404"/>
      <c r="X54" s="320">
        <f>IF(X72=0,0,+X72/(W36+X36))</f>
        <v>0</v>
      </c>
      <c r="Y54" s="321"/>
      <c r="Z54" s="320">
        <f>IF(Z72=0,0,+Z72/(Y36+Z36))</f>
        <v>0</v>
      </c>
      <c r="AA54" s="404"/>
      <c r="AB54" s="320">
        <f>IF(AB72=0,0,+AB72/(AA36+AB36))</f>
        <v>0</v>
      </c>
      <c r="AC54" s="321"/>
      <c r="AD54" s="320">
        <f>IF(AD72=0,0,+AD72/(AC36+AD36))</f>
        <v>0</v>
      </c>
      <c r="AE54" s="404"/>
      <c r="AF54" s="320">
        <f>IF(AF72=0,0,+AF72/(AE36+AF36))</f>
        <v>0</v>
      </c>
      <c r="AG54" s="321"/>
      <c r="AH54" s="320">
        <f>IF(AH72=0,0,+AH72/(AG36+AH36))</f>
        <v>0</v>
      </c>
      <c r="AI54" s="404"/>
      <c r="AJ54" s="320">
        <f>IF(AJ72=0,0,+AJ72/(AI36+AJ36))</f>
        <v>0</v>
      </c>
      <c r="AK54" s="321"/>
      <c r="AL54" s="320">
        <f>IF(AL72=0,0,+AL72/(AK36+AL36))</f>
        <v>0</v>
      </c>
      <c r="AM54" s="404"/>
      <c r="AN54" s="320">
        <f>IF(AN72=0,0,+AN72/(AM36+AN36))</f>
        <v>0</v>
      </c>
      <c r="AO54" s="321"/>
      <c r="AP54" s="320">
        <f>IF(AP72=0,0,+AP72/(AO36+AP36))</f>
        <v>0</v>
      </c>
      <c r="AQ54" s="321"/>
      <c r="AR54" s="320">
        <f t="shared" ref="AR54" si="160">IF(AR72=0,0,+AR72/(AQ36+AR36))</f>
        <v>0</v>
      </c>
      <c r="AS54" s="321"/>
      <c r="AT54" s="320">
        <f t="shared" ref="AT54" si="161">IF(AT72=0,0,+AT72/(AS36+AT36))</f>
        <v>0</v>
      </c>
      <c r="AU54" s="321"/>
      <c r="AV54" s="320">
        <f t="shared" ref="AV54" si="162">IF(AV72=0,0,+AV72/(AU36+AV36))</f>
        <v>0</v>
      </c>
      <c r="AW54" s="321"/>
      <c r="AX54" s="320">
        <f t="shared" ref="AX54" si="163">IF(AX72=0,0,+AX72/(AW36+AX36))</f>
        <v>0</v>
      </c>
      <c r="AY54" s="321"/>
      <c r="AZ54" s="320">
        <f t="shared" ref="AZ54" si="164">IF(AZ72=0,0,+AZ72/(AY36+AZ36))</f>
        <v>0</v>
      </c>
      <c r="BA54" s="321"/>
      <c r="BB54" s="320">
        <f t="shared" ref="BB54" si="165">IF(BB72=0,0,+BB72/(BA36+BB36))</f>
        <v>0</v>
      </c>
      <c r="BC54" s="320">
        <f>IF(BC72=0,0,+BC72/+BC36)</f>
        <v>0</v>
      </c>
      <c r="BD54" s="404"/>
      <c r="BE54" s="320">
        <f>IF(BE72=0,0,+BE72/(BD36+BE36))</f>
        <v>0</v>
      </c>
      <c r="BF54" s="320">
        <f>IF(BF72=0,0,+BF72/+BF36)</f>
        <v>0</v>
      </c>
      <c r="BG54" s="404"/>
      <c r="BH54" s="320">
        <f>IF(BH72=0,0,+BH72/(BG36+BH36))</f>
        <v>0</v>
      </c>
      <c r="BI54" s="321"/>
      <c r="BJ54" s="320">
        <f>IF(BJ72=0,0,+BJ72/(BI36+BJ36))</f>
        <v>0</v>
      </c>
      <c r="BK54" s="320">
        <f>IF(BK72=0,0,+BK72/+BK36)</f>
        <v>0</v>
      </c>
      <c r="BL54" s="404"/>
      <c r="BM54" s="320">
        <f>IF(BM72=0,0,+BM72/(BL36+BM36))</f>
        <v>0</v>
      </c>
      <c r="BN54" s="321"/>
      <c r="BO54" s="320">
        <f>IF(BO72=0,0,+BO72/(BN36+BO36))</f>
        <v>0</v>
      </c>
      <c r="BP54" s="320">
        <f>IF(BP72=0,0,+BP72/+BP36)</f>
        <v>0</v>
      </c>
      <c r="BQ54" s="321"/>
      <c r="BR54" s="320">
        <f>IF(BR72=0,0,+BR72/(BQ36+BR36))</f>
        <v>0</v>
      </c>
      <c r="BS54" s="320">
        <f>IF(BS72=0,0,+BS72/+BS36)</f>
        <v>0</v>
      </c>
      <c r="BT54" s="320">
        <f>IF(BT72=0,0,+BT72/+BT36)</f>
        <v>0</v>
      </c>
      <c r="BU54" s="320">
        <f>IF(BU72=0,0,+BU72/+BU36)</f>
        <v>0</v>
      </c>
      <c r="BV54" s="320">
        <f>IF(BV72=0,0,+BV72/+BV36)</f>
        <v>0</v>
      </c>
      <c r="BW54" s="767"/>
      <c r="BX54" s="320">
        <f t="shared" ref="BX54:CE54" si="166">IF(BX72=0,0,+BX72/+BX36)</f>
        <v>0</v>
      </c>
      <c r="BY54" s="320">
        <f t="shared" si="166"/>
        <v>0</v>
      </c>
      <c r="BZ54" s="320">
        <f t="shared" si="166"/>
        <v>0</v>
      </c>
      <c r="CA54" s="320">
        <f t="shared" si="166"/>
        <v>0</v>
      </c>
      <c r="CB54" s="320">
        <f t="shared" si="166"/>
        <v>0</v>
      </c>
      <c r="CC54" s="320">
        <f t="shared" si="166"/>
        <v>0</v>
      </c>
      <c r="CD54" s="320">
        <f t="shared" si="166"/>
        <v>0</v>
      </c>
      <c r="CE54" s="320">
        <f t="shared" si="166"/>
        <v>0</v>
      </c>
      <c r="CF54" s="767"/>
      <c r="CG54" s="767"/>
      <c r="CH54" s="351">
        <f>+CH72</f>
        <v>0</v>
      </c>
      <c r="CI54" s="351">
        <f>+CH54+BV54*BV36+BU54*BU36+BT54*BT36+CE54*CE36+BS54*BS36+BF54*BF36+R54*R36</f>
        <v>0</v>
      </c>
      <c r="CJ54" s="351">
        <f>+CI54-E72</f>
        <v>0</v>
      </c>
      <c r="CK54" s="609">
        <f t="shared" ref="CK54:CR54" si="167">IF(CK36=0,0,+$CH$72/SUM($CK$35:$CS$35)*CK35/CK36)</f>
        <v>0</v>
      </c>
      <c r="CL54" s="609">
        <f t="shared" si="167"/>
        <v>0</v>
      </c>
      <c r="CM54" s="609">
        <f t="shared" si="167"/>
        <v>0</v>
      </c>
      <c r="CN54" s="609">
        <f t="shared" si="167"/>
        <v>0</v>
      </c>
      <c r="CO54" s="609">
        <f t="shared" si="167"/>
        <v>0</v>
      </c>
      <c r="CP54" s="609">
        <f t="shared" si="167"/>
        <v>0</v>
      </c>
      <c r="CQ54" s="609">
        <f t="shared" si="167"/>
        <v>0</v>
      </c>
      <c r="CR54" s="609">
        <f t="shared" si="167"/>
        <v>0</v>
      </c>
      <c r="CS54" s="610">
        <f>IF(CS36=0,0,+$CH$72/SUM($CK$35:$CS$35)*CS35)</f>
        <v>0</v>
      </c>
      <c r="CT54" s="1005"/>
      <c r="CU54" s="1006"/>
      <c r="CV54" s="902">
        <f>+$CK$36*CK54+$CL$36*CL54+$CM$36*CM54+$CN$36*CN54+$CO$36*CO54+$CP$36*CP54+$CQ$36*CQ54+$CR$36*CR54+CS54+CT54+CU54-CH54</f>
        <v>0</v>
      </c>
      <c r="CW54" s="431"/>
      <c r="CX54" s="431"/>
      <c r="CY54" s="431"/>
    </row>
    <row r="55" spans="1:103" s="2" customFormat="1">
      <c r="A55" s="1363"/>
      <c r="B55" s="716" t="s">
        <v>1477</v>
      </c>
      <c r="C55" s="717"/>
      <c r="D55" s="717"/>
      <c r="E55" s="718"/>
      <c r="F55" s="390"/>
      <c r="G55" s="390"/>
      <c r="H55" s="390"/>
      <c r="I55" s="390"/>
      <c r="J55" s="748"/>
      <c r="K55" s="409" t="e">
        <f>SUM(K50:K54)</f>
        <v>#DIV/0!</v>
      </c>
      <c r="L55" s="411"/>
      <c r="M55" s="749"/>
      <c r="N55" s="409" t="e">
        <f>SUM(N50:N54)</f>
        <v>#DIV/0!</v>
      </c>
      <c r="O55" s="409" t="e">
        <f>SUM(O50:O54)</f>
        <v>#DIV/0!</v>
      </c>
      <c r="P55" s="406"/>
      <c r="Q55" s="409" t="e">
        <f>SUM(Q50:Q54)</f>
        <v>#DIV/0!</v>
      </c>
      <c r="R55" s="409" t="e">
        <f>SUM(R50:R54)</f>
        <v>#DIV/0!</v>
      </c>
      <c r="S55" s="408"/>
      <c r="T55" s="409" t="e">
        <f>SUM(T50:T54)</f>
        <v>#DIV/0!</v>
      </c>
      <c r="U55" s="410"/>
      <c r="V55" s="409" t="e">
        <f>SUM(V50:V54)</f>
        <v>#DIV/0!</v>
      </c>
      <c r="W55" s="408"/>
      <c r="X55" s="409" t="e">
        <f>SUM(X50:X54)</f>
        <v>#DIV/0!</v>
      </c>
      <c r="Y55" s="410"/>
      <c r="Z55" s="409" t="e">
        <f>SUM(Z50:Z54)</f>
        <v>#DIV/0!</v>
      </c>
      <c r="AA55" s="408"/>
      <c r="AB55" s="409" t="e">
        <f>SUM(AB50:AB54)</f>
        <v>#DIV/0!</v>
      </c>
      <c r="AC55" s="410"/>
      <c r="AD55" s="409" t="e">
        <f>SUM(AD50:AD54)</f>
        <v>#DIV/0!</v>
      </c>
      <c r="AE55" s="408"/>
      <c r="AF55" s="409" t="e">
        <f>SUM(AF50:AF54)</f>
        <v>#DIV/0!</v>
      </c>
      <c r="AG55" s="410"/>
      <c r="AH55" s="409" t="e">
        <f>SUM(AH50:AH54)</f>
        <v>#DIV/0!</v>
      </c>
      <c r="AI55" s="408"/>
      <c r="AJ55" s="409" t="e">
        <f>SUM(AJ50:AJ54)</f>
        <v>#DIV/0!</v>
      </c>
      <c r="AK55" s="410"/>
      <c r="AL55" s="409" t="e">
        <f>SUM(AL50:AL54)</f>
        <v>#DIV/0!</v>
      </c>
      <c r="AM55" s="408"/>
      <c r="AN55" s="409" t="e">
        <f>SUM(AN50:AN54)</f>
        <v>#DIV/0!</v>
      </c>
      <c r="AO55" s="410"/>
      <c r="AP55" s="409" t="e">
        <f>SUM(AP50:AP54)</f>
        <v>#DIV/0!</v>
      </c>
      <c r="AQ55" s="410"/>
      <c r="AR55" s="409" t="e">
        <f t="shared" ref="AR55" si="168">SUM(AR50:AR54)</f>
        <v>#DIV/0!</v>
      </c>
      <c r="AS55" s="410"/>
      <c r="AT55" s="409" t="e">
        <f t="shared" ref="AT55" si="169">SUM(AT50:AT54)</f>
        <v>#DIV/0!</v>
      </c>
      <c r="AU55" s="410"/>
      <c r="AV55" s="409" t="e">
        <f t="shared" ref="AV55" si="170">SUM(AV50:AV54)</f>
        <v>#DIV/0!</v>
      </c>
      <c r="AW55" s="410"/>
      <c r="AX55" s="409" t="e">
        <f t="shared" ref="AX55" si="171">SUM(AX50:AX54)</f>
        <v>#DIV/0!</v>
      </c>
      <c r="AY55" s="410"/>
      <c r="AZ55" s="409" t="e">
        <f t="shared" ref="AZ55" si="172">SUM(AZ50:AZ54)</f>
        <v>#DIV/0!</v>
      </c>
      <c r="BA55" s="410"/>
      <c r="BB55" s="409" t="e">
        <f t="shared" ref="BB55" si="173">SUM(BB50:BB54)</f>
        <v>#DIV/0!</v>
      </c>
      <c r="BC55" s="409" t="e">
        <f>SUM(BC50:BC54)</f>
        <v>#DIV/0!</v>
      </c>
      <c r="BD55" s="408"/>
      <c r="BE55" s="409" t="e">
        <f>SUM(BE50:BE54)</f>
        <v>#DIV/0!</v>
      </c>
      <c r="BF55" s="409" t="e">
        <f>SUM(BF50:BF54)</f>
        <v>#DIV/0!</v>
      </c>
      <c r="BG55" s="408"/>
      <c r="BH55" s="409" t="e">
        <f>SUM(BH50:BH54)</f>
        <v>#DIV/0!</v>
      </c>
      <c r="BI55" s="410"/>
      <c r="BJ55" s="409" t="e">
        <f>SUM(BJ50:BJ54)</f>
        <v>#DIV/0!</v>
      </c>
      <c r="BK55" s="409" t="e">
        <f>SUM(BK50:BK54)</f>
        <v>#DIV/0!</v>
      </c>
      <c r="BL55" s="408"/>
      <c r="BM55" s="409" t="e">
        <f>SUM(BM50:BM54)</f>
        <v>#DIV/0!</v>
      </c>
      <c r="BN55" s="410"/>
      <c r="BO55" s="409" t="e">
        <f>SUM(BO50:BO54)</f>
        <v>#DIV/0!</v>
      </c>
      <c r="BP55" s="409" t="e">
        <f>SUM(BP50:BP54)</f>
        <v>#DIV/0!</v>
      </c>
      <c r="BQ55" s="410"/>
      <c r="BR55" s="409" t="e">
        <f>SUM(BR50:BR54)</f>
        <v>#DIV/0!</v>
      </c>
      <c r="BS55" s="409" t="e">
        <f>SUM(BS50:BS54)</f>
        <v>#DIV/0!</v>
      </c>
      <c r="BT55" s="409" t="e">
        <f>SUM(BT50:BT54)</f>
        <v>#DIV/0!</v>
      </c>
      <c r="BU55" s="409" t="e">
        <f>SUM(BU50:BU54)</f>
        <v>#DIV/0!</v>
      </c>
      <c r="BV55" s="409" t="e">
        <f>SUM(BV50:BV54)</f>
        <v>#DIV/0!</v>
      </c>
      <c r="BW55" s="768"/>
      <c r="BX55" s="409" t="e">
        <f t="shared" ref="BX55:CE55" si="174">SUM(BX50:BX54)</f>
        <v>#DIV/0!</v>
      </c>
      <c r="BY55" s="409" t="e">
        <f t="shared" si="174"/>
        <v>#DIV/0!</v>
      </c>
      <c r="BZ55" s="409" t="e">
        <f t="shared" si="174"/>
        <v>#DIV/0!</v>
      </c>
      <c r="CA55" s="409" t="e">
        <f t="shared" si="174"/>
        <v>#DIV/0!</v>
      </c>
      <c r="CB55" s="409" t="e">
        <f t="shared" si="174"/>
        <v>#DIV/0!</v>
      </c>
      <c r="CC55" s="409" t="e">
        <f t="shared" si="174"/>
        <v>#DIV/0!</v>
      </c>
      <c r="CD55" s="409" t="e">
        <f t="shared" si="174"/>
        <v>#DIV/0!</v>
      </c>
      <c r="CE55" s="409" t="e">
        <f t="shared" si="174"/>
        <v>#DIV/0!</v>
      </c>
      <c r="CF55" s="768"/>
      <c r="CG55" s="768"/>
      <c r="CH55" s="412" t="e">
        <f>+CH35+CH52+CH53+CH54</f>
        <v>#DIV/0!</v>
      </c>
      <c r="CI55" s="413"/>
      <c r="CJ55" s="413"/>
      <c r="CK55" s="607" t="e">
        <f t="shared" ref="CK55:CU55" si="175">SUM(CK51:CK54)</f>
        <v>#DIV/0!</v>
      </c>
      <c r="CL55" s="607" t="e">
        <f t="shared" si="175"/>
        <v>#DIV/0!</v>
      </c>
      <c r="CM55" s="607" t="e">
        <f t="shared" si="175"/>
        <v>#DIV/0!</v>
      </c>
      <c r="CN55" s="607" t="e">
        <f t="shared" si="175"/>
        <v>#DIV/0!</v>
      </c>
      <c r="CO55" s="607" t="e">
        <f t="shared" si="175"/>
        <v>#DIV/0!</v>
      </c>
      <c r="CP55" s="607" t="e">
        <f t="shared" si="175"/>
        <v>#DIV/0!</v>
      </c>
      <c r="CQ55" s="607" t="e">
        <f t="shared" si="175"/>
        <v>#DIV/0!</v>
      </c>
      <c r="CR55" s="607" t="e">
        <f t="shared" si="175"/>
        <v>#DIV/0!</v>
      </c>
      <c r="CS55" s="611" t="e">
        <f t="shared" si="175"/>
        <v>#DIV/0!</v>
      </c>
      <c r="CT55" s="1007" t="e">
        <f t="shared" si="175"/>
        <v>#DIV/0!</v>
      </c>
      <c r="CU55" s="1008" t="e">
        <f t="shared" si="175"/>
        <v>#DIV/0!</v>
      </c>
      <c r="CV55" s="903" t="e">
        <f>SUM(CV35:CV54)</f>
        <v>#DIV/0!</v>
      </c>
      <c r="CW55" s="599"/>
      <c r="CX55" s="599"/>
      <c r="CY55" s="599"/>
    </row>
    <row r="56" spans="1:103">
      <c r="A56" s="1363"/>
      <c r="B56" s="535" t="s">
        <v>117</v>
      </c>
      <c r="C56" s="623"/>
      <c r="D56" s="623"/>
      <c r="E56" s="624"/>
      <c r="F56" s="415"/>
      <c r="G56" s="415"/>
      <c r="H56" s="415"/>
      <c r="I56" s="415"/>
      <c r="J56" s="138"/>
      <c r="K56" s="320" t="e">
        <f>+K55*$E$73</f>
        <v>#DIV/0!</v>
      </c>
      <c r="L56" s="405"/>
      <c r="M56" s="751"/>
      <c r="N56" s="320" t="e">
        <f>+N55*$E$73</f>
        <v>#DIV/0!</v>
      </c>
      <c r="O56" s="320" t="e">
        <f>+O55*$E$73</f>
        <v>#DIV/0!</v>
      </c>
      <c r="P56" s="402"/>
      <c r="Q56" s="320" t="e">
        <f>+Q55*$E$73</f>
        <v>#DIV/0!</v>
      </c>
      <c r="R56" s="320" t="e">
        <f>+R55*$E$73</f>
        <v>#DIV/0!</v>
      </c>
      <c r="S56" s="404"/>
      <c r="T56" s="320" t="e">
        <f>+T55*$E$73</f>
        <v>#DIV/0!</v>
      </c>
      <c r="U56" s="321"/>
      <c r="V56" s="320" t="e">
        <f>+V55*$E$73</f>
        <v>#DIV/0!</v>
      </c>
      <c r="W56" s="404"/>
      <c r="X56" s="320" t="e">
        <f>+X55*$E$73</f>
        <v>#DIV/0!</v>
      </c>
      <c r="Y56" s="321"/>
      <c r="Z56" s="320" t="e">
        <f>+Z55*$E$73</f>
        <v>#DIV/0!</v>
      </c>
      <c r="AA56" s="404"/>
      <c r="AB56" s="320" t="e">
        <f>+AB55*$E$73</f>
        <v>#DIV/0!</v>
      </c>
      <c r="AC56" s="321"/>
      <c r="AD56" s="320" t="e">
        <f>+AD55*$E$73</f>
        <v>#DIV/0!</v>
      </c>
      <c r="AE56" s="404"/>
      <c r="AF56" s="320" t="e">
        <f>+AF55*$E$73</f>
        <v>#DIV/0!</v>
      </c>
      <c r="AG56" s="321"/>
      <c r="AH56" s="320" t="e">
        <f>+AH55*$E$73</f>
        <v>#DIV/0!</v>
      </c>
      <c r="AI56" s="404"/>
      <c r="AJ56" s="320" t="e">
        <f>+AJ55*$E$73</f>
        <v>#DIV/0!</v>
      </c>
      <c r="AK56" s="321"/>
      <c r="AL56" s="320" t="e">
        <f>+AL55*$E$73</f>
        <v>#DIV/0!</v>
      </c>
      <c r="AM56" s="404"/>
      <c r="AN56" s="320" t="e">
        <f>+AN55*$E$73</f>
        <v>#DIV/0!</v>
      </c>
      <c r="AO56" s="321"/>
      <c r="AP56" s="320" t="e">
        <f>+AP55*$E$73</f>
        <v>#DIV/0!</v>
      </c>
      <c r="AQ56" s="321"/>
      <c r="AR56" s="320" t="e">
        <f t="shared" ref="AR56" si="176">+AR55*$E$73</f>
        <v>#DIV/0!</v>
      </c>
      <c r="AS56" s="321"/>
      <c r="AT56" s="320" t="e">
        <f t="shared" ref="AT56" si="177">+AT55*$E$73</f>
        <v>#DIV/0!</v>
      </c>
      <c r="AU56" s="321"/>
      <c r="AV56" s="320" t="e">
        <f t="shared" ref="AV56" si="178">+AV55*$E$73</f>
        <v>#DIV/0!</v>
      </c>
      <c r="AW56" s="321"/>
      <c r="AX56" s="320" t="e">
        <f t="shared" ref="AX56" si="179">+AX55*$E$73</f>
        <v>#DIV/0!</v>
      </c>
      <c r="AY56" s="321"/>
      <c r="AZ56" s="320" t="e">
        <f t="shared" ref="AZ56" si="180">+AZ55*$E$73</f>
        <v>#DIV/0!</v>
      </c>
      <c r="BA56" s="321"/>
      <c r="BB56" s="320" t="e">
        <f t="shared" ref="BB56" si="181">+BB55*$E$73</f>
        <v>#DIV/0!</v>
      </c>
      <c r="BC56" s="320" t="e">
        <f>+BC55*$E$73</f>
        <v>#DIV/0!</v>
      </c>
      <c r="BD56" s="404"/>
      <c r="BE56" s="320" t="e">
        <f>+BE55*$E$73</f>
        <v>#DIV/0!</v>
      </c>
      <c r="BF56" s="320" t="e">
        <f>+BF55*$E$73</f>
        <v>#DIV/0!</v>
      </c>
      <c r="BG56" s="404"/>
      <c r="BH56" s="320" t="e">
        <f>+BH55*$E$73</f>
        <v>#DIV/0!</v>
      </c>
      <c r="BI56" s="321"/>
      <c r="BJ56" s="320" t="e">
        <f>+BJ55*$E$73</f>
        <v>#DIV/0!</v>
      </c>
      <c r="BK56" s="320" t="e">
        <f>+BK55*$E$73</f>
        <v>#DIV/0!</v>
      </c>
      <c r="BL56" s="404"/>
      <c r="BM56" s="320" t="e">
        <f>+BM55*$E$73</f>
        <v>#DIV/0!</v>
      </c>
      <c r="BN56" s="321"/>
      <c r="BO56" s="320" t="e">
        <f>+BO55*$E$73</f>
        <v>#DIV/0!</v>
      </c>
      <c r="BP56" s="320" t="e">
        <f>+BP55*$E$73</f>
        <v>#DIV/0!</v>
      </c>
      <c r="BQ56" s="321"/>
      <c r="BR56" s="320" t="e">
        <f>+BR55*$E$73</f>
        <v>#DIV/0!</v>
      </c>
      <c r="BS56" s="320" t="e">
        <f>+BS55*$E$73</f>
        <v>#DIV/0!</v>
      </c>
      <c r="BT56" s="320" t="e">
        <f>+BT55*$E$73</f>
        <v>#DIV/0!</v>
      </c>
      <c r="BU56" s="320" t="e">
        <f>+BU55*$E$73</f>
        <v>#DIV/0!</v>
      </c>
      <c r="BV56" s="320" t="e">
        <f>+BV55*$E$73</f>
        <v>#DIV/0!</v>
      </c>
      <c r="BW56" s="767"/>
      <c r="BX56" s="320" t="e">
        <f t="shared" ref="BX56:CE56" si="182">+BX55*$E$73</f>
        <v>#DIV/0!</v>
      </c>
      <c r="BY56" s="320" t="e">
        <f t="shared" si="182"/>
        <v>#DIV/0!</v>
      </c>
      <c r="BZ56" s="320" t="e">
        <f t="shared" si="182"/>
        <v>#DIV/0!</v>
      </c>
      <c r="CA56" s="320" t="e">
        <f t="shared" si="182"/>
        <v>#DIV/0!</v>
      </c>
      <c r="CB56" s="320" t="e">
        <f t="shared" si="182"/>
        <v>#DIV/0!</v>
      </c>
      <c r="CC56" s="320" t="e">
        <f t="shared" si="182"/>
        <v>#DIV/0!</v>
      </c>
      <c r="CD56" s="320" t="e">
        <f t="shared" si="182"/>
        <v>#DIV/0!</v>
      </c>
      <c r="CE56" s="320" t="e">
        <f t="shared" si="182"/>
        <v>#DIV/0!</v>
      </c>
      <c r="CF56" s="767"/>
      <c r="CG56" s="767"/>
      <c r="CH56" s="351">
        <f>-CH21</f>
        <v>0</v>
      </c>
      <c r="CI56" s="351" t="e">
        <f>+CH56+BV56*BV36+BT56*BT36+BY56*BY36+R56*R36</f>
        <v>#DIV/0!</v>
      </c>
      <c r="CJ56" s="249"/>
      <c r="CK56" s="789"/>
      <c r="CL56" s="789"/>
      <c r="CM56" s="789"/>
      <c r="CN56" s="789"/>
      <c r="CO56" s="789"/>
      <c r="CP56" s="789"/>
      <c r="CQ56" s="789"/>
      <c r="CR56" s="789"/>
      <c r="CS56" s="789"/>
      <c r="CT56" s="1009"/>
      <c r="CU56" s="1010"/>
      <c r="CV56" s="693"/>
      <c r="CW56" s="431"/>
      <c r="CX56" s="431"/>
      <c r="CY56" s="431"/>
    </row>
    <row r="57" spans="1:103" s="29" customFormat="1">
      <c r="A57" s="1363"/>
      <c r="B57" s="716" t="s">
        <v>118</v>
      </c>
      <c r="C57" s="717"/>
      <c r="D57" s="717"/>
      <c r="E57" s="718"/>
      <c r="F57" s="390"/>
      <c r="G57" s="390"/>
      <c r="H57" s="390"/>
      <c r="I57" s="395"/>
      <c r="J57" s="136"/>
      <c r="K57" s="424" t="e">
        <f>K55+K56</f>
        <v>#DIV/0!</v>
      </c>
      <c r="L57" s="418"/>
      <c r="M57" s="750"/>
      <c r="N57" s="424" t="e">
        <f>N55+N56</f>
        <v>#DIV/0!</v>
      </c>
      <c r="O57" s="424" t="e">
        <f>O55+O56</f>
        <v>#DIV/0!</v>
      </c>
      <c r="P57" s="391"/>
      <c r="Q57" s="424" t="e">
        <f>Q55+Q56</f>
        <v>#DIV/0!</v>
      </c>
      <c r="R57" s="424" t="e">
        <f>R55+R56</f>
        <v>#DIV/0!</v>
      </c>
      <c r="S57" s="416"/>
      <c r="T57" s="424" t="e">
        <f>T55+T56</f>
        <v>#DIV/0!</v>
      </c>
      <c r="U57" s="417"/>
      <c r="V57" s="424" t="e">
        <f>V55+V56</f>
        <v>#DIV/0!</v>
      </c>
      <c r="W57" s="416"/>
      <c r="X57" s="424" t="e">
        <f>X55+X56</f>
        <v>#DIV/0!</v>
      </c>
      <c r="Y57" s="417"/>
      <c r="Z57" s="424" t="e">
        <f>Z55+Z56</f>
        <v>#DIV/0!</v>
      </c>
      <c r="AA57" s="416"/>
      <c r="AB57" s="424" t="e">
        <f>AB55+AB56</f>
        <v>#DIV/0!</v>
      </c>
      <c r="AC57" s="417"/>
      <c r="AD57" s="424" t="e">
        <f>AD55+AD56</f>
        <v>#DIV/0!</v>
      </c>
      <c r="AE57" s="416"/>
      <c r="AF57" s="424" t="e">
        <f>AF55+AF56</f>
        <v>#DIV/0!</v>
      </c>
      <c r="AG57" s="417"/>
      <c r="AH57" s="424" t="e">
        <f>AH55+AH56</f>
        <v>#DIV/0!</v>
      </c>
      <c r="AI57" s="416"/>
      <c r="AJ57" s="424" t="e">
        <f>AJ55+AJ56</f>
        <v>#DIV/0!</v>
      </c>
      <c r="AK57" s="417"/>
      <c r="AL57" s="424" t="e">
        <f>AL55+AL56</f>
        <v>#DIV/0!</v>
      </c>
      <c r="AM57" s="416"/>
      <c r="AN57" s="424" t="e">
        <f>AN55+AN56</f>
        <v>#DIV/0!</v>
      </c>
      <c r="AO57" s="417"/>
      <c r="AP57" s="424" t="e">
        <f>AP55+AP56</f>
        <v>#DIV/0!</v>
      </c>
      <c r="AQ57" s="417"/>
      <c r="AR57" s="424" t="e">
        <f t="shared" ref="AR57" si="183">AR55+AR56</f>
        <v>#DIV/0!</v>
      </c>
      <c r="AS57" s="417"/>
      <c r="AT57" s="424" t="e">
        <f t="shared" ref="AT57" si="184">AT55+AT56</f>
        <v>#DIV/0!</v>
      </c>
      <c r="AU57" s="417"/>
      <c r="AV57" s="424" t="e">
        <f t="shared" ref="AV57" si="185">AV55+AV56</f>
        <v>#DIV/0!</v>
      </c>
      <c r="AW57" s="417"/>
      <c r="AX57" s="424" t="e">
        <f t="shared" ref="AX57" si="186">AX55+AX56</f>
        <v>#DIV/0!</v>
      </c>
      <c r="AY57" s="417"/>
      <c r="AZ57" s="424" t="e">
        <f t="shared" ref="AZ57" si="187">AZ55+AZ56</f>
        <v>#DIV/0!</v>
      </c>
      <c r="BA57" s="417"/>
      <c r="BB57" s="424" t="e">
        <f t="shared" ref="BB57" si="188">BB55+BB56</f>
        <v>#DIV/0!</v>
      </c>
      <c r="BC57" s="424" t="e">
        <f>BC55+BC56</f>
        <v>#DIV/0!</v>
      </c>
      <c r="BD57" s="416"/>
      <c r="BE57" s="424" t="e">
        <f>BE55+BE56</f>
        <v>#DIV/0!</v>
      </c>
      <c r="BF57" s="424" t="e">
        <f>BF55+BF56</f>
        <v>#DIV/0!</v>
      </c>
      <c r="BG57" s="416"/>
      <c r="BH57" s="424" t="e">
        <f>BH55+BH56</f>
        <v>#DIV/0!</v>
      </c>
      <c r="BI57" s="417"/>
      <c r="BJ57" s="424" t="e">
        <f>BJ55+BJ56</f>
        <v>#DIV/0!</v>
      </c>
      <c r="BK57" s="424" t="e">
        <f>BK55+BK56</f>
        <v>#DIV/0!</v>
      </c>
      <c r="BL57" s="416"/>
      <c r="BM57" s="424" t="e">
        <f>BM55+BM56</f>
        <v>#DIV/0!</v>
      </c>
      <c r="BN57" s="417"/>
      <c r="BO57" s="424" t="e">
        <f>BO55+BO56</f>
        <v>#DIV/0!</v>
      </c>
      <c r="BP57" s="424" t="e">
        <f>BP55+BP56</f>
        <v>#DIV/0!</v>
      </c>
      <c r="BQ57" s="417"/>
      <c r="BR57" s="424" t="e">
        <f>BR55+BR56</f>
        <v>#DIV/0!</v>
      </c>
      <c r="BS57" s="424" t="e">
        <f>BS55+BS56</f>
        <v>#DIV/0!</v>
      </c>
      <c r="BT57" s="424" t="e">
        <f>BT55+BT56</f>
        <v>#DIV/0!</v>
      </c>
      <c r="BU57" s="424" t="e">
        <f>BU55+BU56</f>
        <v>#DIV/0!</v>
      </c>
      <c r="BV57" s="424" t="e">
        <f>BV55+BV56</f>
        <v>#DIV/0!</v>
      </c>
      <c r="BW57" s="769"/>
      <c r="BX57" s="424" t="e">
        <f t="shared" ref="BX57:CE57" si="189">BX55+BX56</f>
        <v>#DIV/0!</v>
      </c>
      <c r="BY57" s="424" t="e">
        <f t="shared" si="189"/>
        <v>#DIV/0!</v>
      </c>
      <c r="BZ57" s="424" t="e">
        <f t="shared" si="189"/>
        <v>#DIV/0!</v>
      </c>
      <c r="CA57" s="424" t="e">
        <f t="shared" si="189"/>
        <v>#DIV/0!</v>
      </c>
      <c r="CB57" s="424" t="e">
        <f t="shared" si="189"/>
        <v>#DIV/0!</v>
      </c>
      <c r="CC57" s="424" t="e">
        <f t="shared" si="189"/>
        <v>#DIV/0!</v>
      </c>
      <c r="CD57" s="424" t="e">
        <f t="shared" si="189"/>
        <v>#DIV/0!</v>
      </c>
      <c r="CE57" s="424" t="e">
        <f t="shared" si="189"/>
        <v>#DIV/0!</v>
      </c>
      <c r="CF57" s="769"/>
      <c r="CG57" s="769"/>
      <c r="CH57" s="419" t="e">
        <f>CH55+CH56</f>
        <v>#DIV/0!</v>
      </c>
      <c r="CI57" s="366"/>
      <c r="CJ57" s="366"/>
      <c r="CK57" s="607" t="e">
        <f t="shared" ref="CK57:CU57" si="190">CK55+CK56</f>
        <v>#DIV/0!</v>
      </c>
      <c r="CL57" s="607" t="e">
        <f t="shared" si="190"/>
        <v>#DIV/0!</v>
      </c>
      <c r="CM57" s="607" t="e">
        <f t="shared" si="190"/>
        <v>#DIV/0!</v>
      </c>
      <c r="CN57" s="607" t="e">
        <f t="shared" si="190"/>
        <v>#DIV/0!</v>
      </c>
      <c r="CO57" s="607" t="e">
        <f t="shared" si="190"/>
        <v>#DIV/0!</v>
      </c>
      <c r="CP57" s="607" t="e">
        <f t="shared" si="190"/>
        <v>#DIV/0!</v>
      </c>
      <c r="CQ57" s="607" t="e">
        <f t="shared" si="190"/>
        <v>#DIV/0!</v>
      </c>
      <c r="CR57" s="607" t="e">
        <f t="shared" si="190"/>
        <v>#DIV/0!</v>
      </c>
      <c r="CS57" s="574" t="e">
        <f t="shared" si="190"/>
        <v>#DIV/0!</v>
      </c>
      <c r="CT57" s="1003" t="e">
        <f t="shared" si="190"/>
        <v>#DIV/0!</v>
      </c>
      <c r="CU57" s="1011" t="e">
        <f t="shared" si="190"/>
        <v>#DIV/0!</v>
      </c>
      <c r="CV57" s="903"/>
      <c r="CW57" s="601"/>
      <c r="CX57" s="601"/>
      <c r="CY57" s="601"/>
    </row>
    <row r="58" spans="1:103">
      <c r="A58" s="1364"/>
      <c r="B58" s="536" t="s">
        <v>119</v>
      </c>
      <c r="C58" s="94"/>
      <c r="D58" s="94"/>
      <c r="E58" s="625"/>
      <c r="F58" s="426"/>
      <c r="G58" s="426"/>
      <c r="H58" s="426"/>
      <c r="I58" s="466"/>
      <c r="J58" s="138"/>
      <c r="K58" s="429"/>
      <c r="L58" s="422"/>
      <c r="M58" s="751"/>
      <c r="N58" s="428"/>
      <c r="O58" s="428"/>
      <c r="P58" s="872"/>
      <c r="Q58" s="428"/>
      <c r="R58" s="428"/>
      <c r="S58" s="420"/>
      <c r="T58" s="428"/>
      <c r="U58" s="421"/>
      <c r="V58" s="428"/>
      <c r="W58" s="420"/>
      <c r="X58" s="428"/>
      <c r="Y58" s="421"/>
      <c r="Z58" s="428"/>
      <c r="AA58" s="420"/>
      <c r="AB58" s="428"/>
      <c r="AC58" s="421"/>
      <c r="AD58" s="428"/>
      <c r="AE58" s="420"/>
      <c r="AF58" s="428"/>
      <c r="AG58" s="421"/>
      <c r="AH58" s="428"/>
      <c r="AI58" s="420"/>
      <c r="AJ58" s="428"/>
      <c r="AK58" s="421"/>
      <c r="AL58" s="428"/>
      <c r="AM58" s="420"/>
      <c r="AN58" s="428"/>
      <c r="AO58" s="421"/>
      <c r="AP58" s="428"/>
      <c r="AQ58" s="421"/>
      <c r="AR58" s="429"/>
      <c r="AS58" s="421"/>
      <c r="AT58" s="429"/>
      <c r="AU58" s="421"/>
      <c r="AV58" s="429"/>
      <c r="AW58" s="421"/>
      <c r="AX58" s="429"/>
      <c r="AY58" s="421"/>
      <c r="AZ58" s="429"/>
      <c r="BA58" s="421"/>
      <c r="BB58" s="429"/>
      <c r="BC58" s="429"/>
      <c r="BD58" s="420"/>
      <c r="BE58" s="428"/>
      <c r="BF58" s="429"/>
      <c r="BG58" s="420"/>
      <c r="BH58" s="428"/>
      <c r="BI58" s="421"/>
      <c r="BJ58" s="428"/>
      <c r="BK58" s="428"/>
      <c r="BL58" s="420"/>
      <c r="BM58" s="428"/>
      <c r="BN58" s="421"/>
      <c r="BO58" s="428"/>
      <c r="BP58" s="428"/>
      <c r="BQ58" s="421"/>
      <c r="BR58" s="428"/>
      <c r="BS58" s="429"/>
      <c r="BT58" s="428"/>
      <c r="BU58" s="428"/>
      <c r="BV58" s="428"/>
      <c r="BW58" s="770"/>
      <c r="BX58" s="578"/>
      <c r="BY58" s="578"/>
      <c r="BZ58" s="578"/>
      <c r="CA58" s="578"/>
      <c r="CB58" s="578"/>
      <c r="CC58" s="578"/>
      <c r="CD58" s="578"/>
      <c r="CE58" s="578"/>
      <c r="CF58" s="770"/>
      <c r="CG58" s="770"/>
      <c r="CH58" s="430" t="e">
        <f>+CH22+CH23+CH25+CH26+CH30+CH33+CH34</f>
        <v>#DIV/0!</v>
      </c>
      <c r="CI58" s="427"/>
      <c r="CJ58" s="250"/>
      <c r="CK58" s="250"/>
      <c r="CL58" s="250"/>
      <c r="CM58" s="250"/>
      <c r="CN58" s="250"/>
      <c r="CO58" s="250"/>
      <c r="CP58" s="250"/>
      <c r="CQ58" s="250"/>
      <c r="CR58" s="250"/>
      <c r="CS58" s="250"/>
      <c r="CT58" s="250"/>
      <c r="CU58" s="603"/>
      <c r="CV58" s="904"/>
      <c r="CW58" s="431"/>
      <c r="CX58" s="431"/>
      <c r="CY58" s="431"/>
    </row>
    <row r="59" spans="1:103" s="102" customFormat="1">
      <c r="A59" s="691"/>
      <c r="B59" s="536" t="s">
        <v>600</v>
      </c>
      <c r="C59" s="623"/>
      <c r="D59" s="623"/>
      <c r="E59" s="624"/>
      <c r="F59" s="415"/>
      <c r="G59" s="415"/>
      <c r="H59" s="415"/>
      <c r="I59" s="581"/>
      <c r="J59" s="135"/>
      <c r="K59" s="1061"/>
      <c r="L59" s="418"/>
      <c r="M59" s="750"/>
      <c r="N59" s="1061"/>
      <c r="O59" s="1061"/>
      <c r="P59" s="388"/>
      <c r="Q59" s="1061"/>
      <c r="R59" s="1061"/>
      <c r="S59" s="420"/>
      <c r="T59" s="1061"/>
      <c r="U59" s="421"/>
      <c r="V59" s="1061"/>
      <c r="W59" s="420"/>
      <c r="X59" s="1061"/>
      <c r="Y59" s="421"/>
      <c r="Z59" s="1061"/>
      <c r="AA59" s="420"/>
      <c r="AB59" s="1061"/>
      <c r="AC59" s="421"/>
      <c r="AD59" s="1061"/>
      <c r="AE59" s="420"/>
      <c r="AF59" s="1061"/>
      <c r="AG59" s="421"/>
      <c r="AH59" s="1061"/>
      <c r="AI59" s="420"/>
      <c r="AJ59" s="1061"/>
      <c r="AK59" s="421"/>
      <c r="AL59" s="1061"/>
      <c r="AM59" s="420"/>
      <c r="AN59" s="1061"/>
      <c r="AO59" s="421"/>
      <c r="AP59" s="1061"/>
      <c r="AQ59" s="421"/>
      <c r="AR59" s="1061"/>
      <c r="AS59" s="421"/>
      <c r="AT59" s="1061"/>
      <c r="AU59" s="421"/>
      <c r="AV59" s="1061"/>
      <c r="AW59" s="421"/>
      <c r="AX59" s="1061"/>
      <c r="AY59" s="421"/>
      <c r="AZ59" s="1061"/>
      <c r="BA59" s="421"/>
      <c r="BB59" s="1061"/>
      <c r="BC59" s="1061"/>
      <c r="BD59" s="420"/>
      <c r="BE59" s="1061"/>
      <c r="BF59" s="1061"/>
      <c r="BG59" s="420"/>
      <c r="BH59" s="1061"/>
      <c r="BI59" s="421"/>
      <c r="BJ59" s="1061"/>
      <c r="BK59" s="1061"/>
      <c r="BL59" s="420"/>
      <c r="BM59" s="1061"/>
      <c r="BN59" s="421"/>
      <c r="BO59" s="1061"/>
      <c r="BP59" s="1061"/>
      <c r="BQ59" s="421"/>
      <c r="BR59" s="1061"/>
      <c r="BS59" s="1061"/>
      <c r="BT59" s="1061"/>
      <c r="BU59" s="1061"/>
      <c r="BV59" s="1061"/>
      <c r="BW59" s="770"/>
      <c r="BX59" s="1061"/>
      <c r="BY59" s="1061"/>
      <c r="BZ59" s="1061"/>
      <c r="CA59" s="1061"/>
      <c r="CB59" s="1061"/>
      <c r="CC59" s="1061"/>
      <c r="CD59" s="1061"/>
      <c r="CE59" s="1061"/>
      <c r="CF59" s="770"/>
      <c r="CG59" s="770"/>
      <c r="CH59" s="692"/>
      <c r="CI59" s="367"/>
      <c r="CJ59" s="367"/>
      <c r="CK59" s="1060"/>
      <c r="CL59" s="1060"/>
      <c r="CM59" s="1060"/>
      <c r="CN59" s="1060"/>
      <c r="CO59" s="1060"/>
      <c r="CP59" s="1060"/>
      <c r="CQ59" s="1060"/>
      <c r="CR59" s="1060"/>
      <c r="CS59" s="693"/>
      <c r="CT59" s="693"/>
      <c r="CU59" s="907"/>
      <c r="CV59" s="693"/>
      <c r="CW59" s="579"/>
      <c r="CX59" s="579"/>
      <c r="CY59" s="579"/>
    </row>
    <row r="60" spans="1:103" s="102" customFormat="1">
      <c r="B60" s="160" t="s">
        <v>606</v>
      </c>
      <c r="C60" s="107"/>
      <c r="D60" s="107"/>
      <c r="E60" s="701"/>
      <c r="F60" s="579"/>
      <c r="G60" s="579"/>
      <c r="H60" s="579"/>
      <c r="I60" s="466"/>
      <c r="J60" s="135"/>
      <c r="K60" s="702" t="e">
        <f>IF(K40=0,0,(K40-K59)/K59)</f>
        <v>#DIV/0!</v>
      </c>
      <c r="L60" s="744"/>
      <c r="M60" s="752"/>
      <c r="N60" s="702" t="e">
        <f>IF(N40=0,0,(N40-N59)/N59)</f>
        <v>#DIV/0!</v>
      </c>
      <c r="O60" s="702" t="e">
        <f>IF(O40=0,0,(O40-O59)/O59)</f>
        <v>#DIV/0!</v>
      </c>
      <c r="P60" s="704"/>
      <c r="Q60" s="702" t="e">
        <f>IF(Q40=0,0,(Q40-Q59)/Q59)</f>
        <v>#DIV/0!</v>
      </c>
      <c r="R60" s="702" t="e">
        <f>IF(R40=0,0,(R40-R59)/R59)</f>
        <v>#DIV/0!</v>
      </c>
      <c r="S60" s="871"/>
      <c r="T60" s="702" t="e">
        <f>IF(T40=0,0,(T40-T59)/T59)</f>
        <v>#DIV/0!</v>
      </c>
      <c r="U60" s="703"/>
      <c r="V60" s="702" t="e">
        <f>IF(V40=0,0,(V40-V59)/V59)</f>
        <v>#DIV/0!</v>
      </c>
      <c r="W60" s="703"/>
      <c r="X60" s="702" t="e">
        <f>IF(X40=0,0,(X40-X59)/X59)</f>
        <v>#DIV/0!</v>
      </c>
      <c r="Y60" s="703"/>
      <c r="Z60" s="1062" t="e">
        <f>IF(Z40=0,0,(Z40-Z59)/Z59)</f>
        <v>#DIV/0!</v>
      </c>
      <c r="AA60" s="703"/>
      <c r="AB60" s="702" t="e">
        <f>IF(AB40=0,0,(AB40-AB59)/AB59)</f>
        <v>#DIV/0!</v>
      </c>
      <c r="AC60" s="703"/>
      <c r="AD60" s="702" t="e">
        <f>IF(AD40=0,0,(AD40-AD59)/AD59)</f>
        <v>#DIV/0!</v>
      </c>
      <c r="AE60" s="703"/>
      <c r="AF60" s="702" t="e">
        <f>IF(AF40=0,0,(AF40-AF59)/AF59)</f>
        <v>#DIV/0!</v>
      </c>
      <c r="AG60" s="703"/>
      <c r="AH60" s="702" t="e">
        <f>IF(AH40=0,0,(AH40-AH59)/AH59)</f>
        <v>#DIV/0!</v>
      </c>
      <c r="AI60" s="703"/>
      <c r="AJ60" s="702" t="e">
        <f>IF(AJ40=0,0,(AJ40-AJ59)/AJ59)</f>
        <v>#DIV/0!</v>
      </c>
      <c r="AK60" s="703"/>
      <c r="AL60" s="702" t="e">
        <f>IF(AL40=0,0,(AL40-AL59)/AL59)</f>
        <v>#DIV/0!</v>
      </c>
      <c r="AM60" s="703"/>
      <c r="AN60" s="702" t="e">
        <f>IF(AN40=0,0,(AN40-AN59)/AN59)</f>
        <v>#DIV/0!</v>
      </c>
      <c r="AO60" s="703"/>
      <c r="AP60" s="702" t="e">
        <f>IF(AP40=0,0,(AP40-AP59)/AP59)</f>
        <v>#DIV/0!</v>
      </c>
      <c r="AQ60" s="703"/>
      <c r="AR60" s="702" t="e">
        <f t="shared" ref="AR60" si="191">IF(AR40=0,0,(AR40-AR59)/AR59)</f>
        <v>#DIV/0!</v>
      </c>
      <c r="AS60" s="703"/>
      <c r="AT60" s="702" t="e">
        <f t="shared" ref="AT60" si="192">IF(AT40=0,0,(AT40-AT59)/AT59)</f>
        <v>#DIV/0!</v>
      </c>
      <c r="AU60" s="703"/>
      <c r="AV60" s="702" t="e">
        <f t="shared" ref="AV60" si="193">IF(AV40=0,0,(AV40-AV59)/AV59)</f>
        <v>#DIV/0!</v>
      </c>
      <c r="AW60" s="703"/>
      <c r="AX60" s="702" t="e">
        <f t="shared" ref="AX60" si="194">IF(AX40=0,0,(AX40-AX59)/AX59)</f>
        <v>#DIV/0!</v>
      </c>
      <c r="AY60" s="703"/>
      <c r="AZ60" s="702" t="e">
        <f t="shared" ref="AZ60" si="195">IF(AZ40=0,0,(AZ40-AZ59)/AZ59)</f>
        <v>#DIV/0!</v>
      </c>
      <c r="BA60" s="703"/>
      <c r="BB60" s="702" t="e">
        <f t="shared" ref="BB60" si="196">IF(BB40=0,0,(BB40-BB59)/BB59)</f>
        <v>#DIV/0!</v>
      </c>
      <c r="BC60" s="702" t="e">
        <f>IF(BC40=0,0,(BC40-BC59)/BC59)</f>
        <v>#DIV/0!</v>
      </c>
      <c r="BD60" s="703"/>
      <c r="BE60" s="702" t="e">
        <f>IF(BE40=0,0,(BE40-BE59)/BE59)</f>
        <v>#DIV/0!</v>
      </c>
      <c r="BF60" s="702" t="e">
        <f>IF(BF40=0,0,(BF40-BF59)/BF59)</f>
        <v>#DIV/0!</v>
      </c>
      <c r="BG60" s="703"/>
      <c r="BH60" s="702" t="e">
        <f>IF(BH40=0,0,(BH40-BH59)/BH59)</f>
        <v>#DIV/0!</v>
      </c>
      <c r="BI60" s="703"/>
      <c r="BJ60" s="702" t="e">
        <f>IF(BJ40=0,0,(BJ40-BJ59)/BJ59)</f>
        <v>#DIV/0!</v>
      </c>
      <c r="BK60" s="702" t="e">
        <f>IF(BK40=0,0,(BK40-BK59)/BK59)</f>
        <v>#DIV/0!</v>
      </c>
      <c r="BL60" s="703"/>
      <c r="BM60" s="702" t="e">
        <f>IF(BM40=0,0,(BM40-BM59)/BM59)</f>
        <v>#DIV/0!</v>
      </c>
      <c r="BN60" s="703"/>
      <c r="BO60" s="702" t="e">
        <f>IF(BO40=0,0,(BO40-BO59)/BO59)</f>
        <v>#DIV/0!</v>
      </c>
      <c r="BP60" s="702" t="e">
        <f>IF(BP40=0,0,(BP40-BP59)/BP59)</f>
        <v>#DIV/0!</v>
      </c>
      <c r="BQ60" s="703"/>
      <c r="BR60" s="702" t="e">
        <f>IF(BR40=0,0,(BR40-BR59)/BR59)</f>
        <v>#DIV/0!</v>
      </c>
      <c r="BS60" s="702" t="e">
        <f>IF(BS40=0,0,(BS40-BS59)/BS59)</f>
        <v>#DIV/0!</v>
      </c>
      <c r="BT60" s="702" t="e">
        <f>IF(BT40=0,0,(BT40-BT59)/BT59)</f>
        <v>#DIV/0!</v>
      </c>
      <c r="BU60" s="702" t="e">
        <f>IF(BU40=0,0,(BU40-BU59)/BU59)</f>
        <v>#DIV/0!</v>
      </c>
      <c r="BV60" s="702" t="e">
        <f>IF(BV40=0,0,(BV40-BV59)/BV59)</f>
        <v>#DIV/0!</v>
      </c>
      <c r="BW60" s="705"/>
      <c r="BX60" s="702" t="e">
        <f t="shared" ref="BX60:CE60" si="197">IF(BX40=0,0,(BX40-BX59)/BX59)</f>
        <v>#DIV/0!</v>
      </c>
      <c r="BY60" s="702" t="e">
        <f t="shared" si="197"/>
        <v>#DIV/0!</v>
      </c>
      <c r="BZ60" s="702" t="e">
        <f t="shared" si="197"/>
        <v>#DIV/0!</v>
      </c>
      <c r="CA60" s="702" t="e">
        <f t="shared" si="197"/>
        <v>#DIV/0!</v>
      </c>
      <c r="CB60" s="702" t="e">
        <f t="shared" si="197"/>
        <v>#DIV/0!</v>
      </c>
      <c r="CC60" s="702" t="e">
        <f t="shared" si="197"/>
        <v>#DIV/0!</v>
      </c>
      <c r="CD60" s="702" t="e">
        <f t="shared" si="197"/>
        <v>#DIV/0!</v>
      </c>
      <c r="CE60" s="702" t="e">
        <f t="shared" si="197"/>
        <v>#DIV/0!</v>
      </c>
      <c r="CF60" s="705"/>
      <c r="CG60" s="705"/>
      <c r="CH60" s="703"/>
      <c r="CI60" s="705"/>
      <c r="CJ60" s="705"/>
      <c r="CK60" s="702" t="e">
        <f t="shared" ref="CK60:CR60" si="198">IF(CK57=0,0,(CK57-CK59)/CK59)</f>
        <v>#DIV/0!</v>
      </c>
      <c r="CL60" s="702" t="e">
        <f t="shared" si="198"/>
        <v>#DIV/0!</v>
      </c>
      <c r="CM60" s="702" t="e">
        <f t="shared" si="198"/>
        <v>#DIV/0!</v>
      </c>
      <c r="CN60" s="702" t="e">
        <f t="shared" si="198"/>
        <v>#DIV/0!</v>
      </c>
      <c r="CO60" s="702" t="e">
        <f t="shared" si="198"/>
        <v>#DIV/0!</v>
      </c>
      <c r="CP60" s="702" t="e">
        <f t="shared" si="198"/>
        <v>#DIV/0!</v>
      </c>
      <c r="CQ60" s="702" t="e">
        <f t="shared" si="198"/>
        <v>#DIV/0!</v>
      </c>
      <c r="CR60" s="702" t="e">
        <f t="shared" si="198"/>
        <v>#DIV/0!</v>
      </c>
      <c r="CS60" s="706"/>
      <c r="CT60" s="706"/>
      <c r="CU60" s="908"/>
      <c r="CV60" s="693"/>
      <c r="CW60" s="579"/>
      <c r="CX60" s="579"/>
      <c r="CY60" s="579"/>
    </row>
    <row r="61" spans="1:103" s="532" customFormat="1">
      <c r="A61" s="102"/>
      <c r="B61" s="29"/>
      <c r="C61" s="102"/>
      <c r="D61" s="102"/>
      <c r="E61" s="102"/>
      <c r="F61" s="579"/>
      <c r="G61" s="579"/>
      <c r="H61" s="579"/>
      <c r="I61" s="580"/>
      <c r="J61" s="580"/>
      <c r="K61" s="580"/>
      <c r="L61" s="580"/>
      <c r="M61" s="580"/>
      <c r="N61" s="580"/>
      <c r="O61" s="580"/>
      <c r="P61" s="580"/>
      <c r="Q61" s="580"/>
      <c r="R61" s="580"/>
      <c r="S61" s="580"/>
      <c r="T61" s="580"/>
      <c r="U61" s="580"/>
      <c r="V61" s="580"/>
      <c r="W61" s="580"/>
      <c r="X61" s="580"/>
      <c r="Y61" s="580"/>
      <c r="Z61" s="580"/>
      <c r="AA61" s="580"/>
      <c r="AB61" s="580"/>
      <c r="AC61" s="580"/>
      <c r="AD61" s="580"/>
      <c r="AE61" s="580"/>
      <c r="AF61" s="580"/>
      <c r="AG61" s="580"/>
      <c r="AH61" s="580"/>
      <c r="AI61" s="580"/>
      <c r="AJ61" s="580"/>
      <c r="AK61" s="580"/>
      <c r="AL61" s="580"/>
      <c r="AM61" s="580"/>
      <c r="AN61" s="580"/>
      <c r="AO61" s="580"/>
      <c r="AP61" s="580"/>
      <c r="AQ61" s="580"/>
      <c r="AR61" s="580"/>
      <c r="AS61" s="580"/>
      <c r="AT61" s="580"/>
      <c r="AU61" s="580"/>
      <c r="AV61" s="580"/>
      <c r="AW61" s="580"/>
      <c r="AX61" s="580"/>
      <c r="AY61" s="580"/>
      <c r="AZ61" s="580"/>
      <c r="BA61" s="580"/>
      <c r="BB61" s="580"/>
      <c r="BC61" s="580"/>
      <c r="BD61" s="580"/>
      <c r="BE61" s="580"/>
      <c r="BF61" s="580"/>
      <c r="BG61" s="580"/>
      <c r="BH61" s="580"/>
      <c r="BI61" s="580"/>
      <c r="BJ61" s="582"/>
      <c r="BK61" s="582"/>
      <c r="BL61" s="582"/>
      <c r="BM61" s="580"/>
      <c r="BN61" s="580"/>
      <c r="BO61" s="580"/>
      <c r="BP61" s="580"/>
      <c r="BQ61" s="580"/>
      <c r="BR61" s="580"/>
      <c r="BS61" s="580"/>
      <c r="BT61" s="580"/>
      <c r="BU61" s="580"/>
      <c r="BV61" s="580"/>
      <c r="BW61" s="466"/>
      <c r="BX61" s="464"/>
      <c r="BY61" s="464"/>
      <c r="BZ61" s="464"/>
      <c r="CA61" s="464"/>
      <c r="CB61" s="464"/>
      <c r="CC61" s="464"/>
      <c r="CD61" s="464"/>
      <c r="CE61" s="464"/>
      <c r="CF61" s="466"/>
      <c r="CG61" s="466"/>
      <c r="CH61" s="580"/>
      <c r="CI61" s="466"/>
      <c r="CJ61" s="581"/>
      <c r="CK61" s="581"/>
      <c r="CL61" s="581"/>
      <c r="CM61" s="581"/>
      <c r="CN61" s="581"/>
      <c r="CO61" s="581"/>
      <c r="CP61" s="581"/>
      <c r="CQ61" s="581"/>
      <c r="CR61" s="581"/>
      <c r="CS61" s="581"/>
      <c r="CT61" s="581"/>
      <c r="CU61" s="581"/>
      <c r="CV61" s="465"/>
      <c r="CW61" s="579"/>
      <c r="CX61" s="579"/>
      <c r="CY61" s="579"/>
    </row>
    <row r="62" spans="1:103">
      <c r="A62" s="147"/>
      <c r="B62" s="2" t="s">
        <v>101</v>
      </c>
      <c r="C62" s="147"/>
      <c r="D62" s="147"/>
      <c r="E62" s="147"/>
      <c r="F62" s="431"/>
      <c r="G62" s="431"/>
      <c r="H62" s="431"/>
      <c r="I62" s="432"/>
      <c r="J62" s="432"/>
      <c r="K62" s="432"/>
      <c r="L62" s="432"/>
      <c r="M62" s="432"/>
      <c r="N62" s="432"/>
      <c r="O62" s="432"/>
      <c r="P62" s="432"/>
      <c r="Q62" s="432"/>
      <c r="R62" s="432"/>
      <c r="S62" s="432"/>
      <c r="T62" s="432"/>
      <c r="U62" s="432"/>
      <c r="V62" s="432"/>
      <c r="W62" s="432"/>
      <c r="X62" s="432"/>
      <c r="Y62" s="432"/>
      <c r="Z62" s="432"/>
      <c r="AA62" s="432"/>
      <c r="AB62" s="432"/>
      <c r="AC62" s="432"/>
      <c r="AD62" s="432"/>
      <c r="AE62" s="432"/>
      <c r="AF62" s="432"/>
      <c r="AG62" s="432"/>
      <c r="AH62" s="432"/>
      <c r="AI62" s="432"/>
      <c r="AJ62" s="432"/>
      <c r="AK62" s="432"/>
      <c r="AL62" s="432"/>
      <c r="AM62" s="432"/>
      <c r="AN62" s="432"/>
      <c r="AO62" s="432"/>
      <c r="AP62" s="432"/>
      <c r="AQ62" s="432"/>
      <c r="AR62" s="432"/>
      <c r="AS62" s="432"/>
      <c r="AT62" s="432"/>
      <c r="AU62" s="432"/>
      <c r="AV62" s="432"/>
      <c r="AW62" s="432"/>
      <c r="AX62" s="432"/>
      <c r="AY62" s="432"/>
      <c r="AZ62" s="432"/>
      <c r="BA62" s="432"/>
      <c r="BB62" s="432"/>
      <c r="BC62" s="432"/>
      <c r="BD62" s="432"/>
      <c r="BE62" s="432"/>
      <c r="BF62" s="432"/>
      <c r="BG62" s="432"/>
      <c r="BH62" s="432"/>
      <c r="BI62" s="432"/>
      <c r="BJ62" s="432"/>
      <c r="BK62" s="432"/>
      <c r="BL62" s="432"/>
      <c r="BM62" s="432"/>
      <c r="BN62" s="432"/>
      <c r="BO62" s="432"/>
      <c r="BP62" s="432"/>
      <c r="BQ62" s="432"/>
      <c r="BR62" s="432"/>
      <c r="BS62" s="432"/>
      <c r="BT62" s="432"/>
      <c r="BU62" s="432"/>
      <c r="BV62" s="432"/>
      <c r="BW62" s="434"/>
      <c r="BX62" s="433"/>
      <c r="BY62" s="433"/>
      <c r="BZ62" s="433"/>
      <c r="CA62" s="433"/>
      <c r="CB62" s="433"/>
      <c r="CC62" s="433"/>
      <c r="CD62" s="433"/>
      <c r="CE62" s="433"/>
      <c r="CF62" s="434"/>
      <c r="CG62" s="434"/>
      <c r="CH62" s="432"/>
      <c r="CI62" s="434"/>
      <c r="CJ62" s="581"/>
      <c r="CK62" s="581"/>
      <c r="CL62" s="581"/>
      <c r="CM62" s="581"/>
      <c r="CN62" s="581"/>
      <c r="CO62" s="581"/>
      <c r="CP62" s="581"/>
      <c r="CQ62" s="581"/>
      <c r="CR62" s="581"/>
      <c r="CS62" s="581"/>
      <c r="CT62" s="581"/>
      <c r="CU62" s="581"/>
      <c r="CV62" s="465"/>
      <c r="CW62" s="431"/>
      <c r="CX62" s="431"/>
      <c r="CY62" s="431"/>
    </row>
    <row r="63" spans="1:103" s="245" customFormat="1">
      <c r="A63" s="147"/>
      <c r="B63" s="626" t="s">
        <v>464</v>
      </c>
      <c r="C63" s="209"/>
      <c r="D63" s="209"/>
      <c r="E63" s="627">
        <f>+Zusatzinfos!C142</f>
        <v>0</v>
      </c>
      <c r="F63" s="1016"/>
      <c r="G63" s="1016"/>
      <c r="H63" s="1016"/>
      <c r="I63" s="471" t="e">
        <f>IF($E$63="",0,$E$63/($CI$24-$CG$24-$CF$24-$F$24)*I24)</f>
        <v>#DIV/0!</v>
      </c>
      <c r="J63" s="471" t="e">
        <f>IF($E$63="",0,$E$63/($CI$24-$CG$24-$CF$24-$F$24)*J24)</f>
        <v>#DIV/0!</v>
      </c>
      <c r="K63" s="471"/>
      <c r="L63" s="471" t="e">
        <f>IF($E$63="",0,$E$63/($CI$24-$CG$24-$CF$24-$F$24)*L24)</f>
        <v>#DIV/0!</v>
      </c>
      <c r="M63" s="471" t="e">
        <f>IF($E$63="",0,$E$63/($CI$24-$CG$24-$CF$24-$F$24)*M24)</f>
        <v>#DIV/0!</v>
      </c>
      <c r="N63" s="471"/>
      <c r="O63" s="471" t="e">
        <f>IF($E$63="",0,$E$63/($CI$24-$CG$24-$CF$24-$F$24)*O24)</f>
        <v>#DIV/0!</v>
      </c>
      <c r="P63" s="471" t="e">
        <f>IF($E$63="",0,$E$63/($CI$24-$CG$24-$CF$24-$F$24)*P24)</f>
        <v>#DIV/0!</v>
      </c>
      <c r="Q63" s="471" t="e">
        <f>IF($E$63="",0,$E$63/($CI$24-$CG$24-$CF$24-$F$24)*Q24)</f>
        <v>#DIV/0!</v>
      </c>
      <c r="R63" s="471" t="e">
        <f>SUM(I63:Q63)</f>
        <v>#DIV/0!</v>
      </c>
      <c r="S63" s="471" t="e">
        <f t="shared" ref="S63:BE63" si="199">IF($E$63="",0,$E$63/($CI$24-$CG$24-$CF$24-$F$24)*S24)</f>
        <v>#DIV/0!</v>
      </c>
      <c r="T63" s="471" t="e">
        <f t="shared" si="199"/>
        <v>#DIV/0!</v>
      </c>
      <c r="U63" s="471" t="e">
        <f t="shared" si="199"/>
        <v>#DIV/0!</v>
      </c>
      <c r="V63" s="471" t="e">
        <f t="shared" si="199"/>
        <v>#DIV/0!</v>
      </c>
      <c r="W63" s="471" t="e">
        <f t="shared" si="199"/>
        <v>#DIV/0!</v>
      </c>
      <c r="X63" s="471" t="e">
        <f t="shared" si="199"/>
        <v>#DIV/0!</v>
      </c>
      <c r="Y63" s="471" t="e">
        <f t="shared" si="199"/>
        <v>#DIV/0!</v>
      </c>
      <c r="Z63" s="471" t="e">
        <f t="shared" si="199"/>
        <v>#DIV/0!</v>
      </c>
      <c r="AA63" s="471" t="e">
        <f t="shared" si="199"/>
        <v>#DIV/0!</v>
      </c>
      <c r="AB63" s="471" t="e">
        <f t="shared" si="199"/>
        <v>#DIV/0!</v>
      </c>
      <c r="AC63" s="471" t="e">
        <f t="shared" si="199"/>
        <v>#DIV/0!</v>
      </c>
      <c r="AD63" s="471" t="e">
        <f t="shared" si="199"/>
        <v>#DIV/0!</v>
      </c>
      <c r="AE63" s="471" t="e">
        <f t="shared" si="199"/>
        <v>#DIV/0!</v>
      </c>
      <c r="AF63" s="471" t="e">
        <f t="shared" si="199"/>
        <v>#DIV/0!</v>
      </c>
      <c r="AG63" s="471" t="e">
        <f t="shared" si="199"/>
        <v>#DIV/0!</v>
      </c>
      <c r="AH63" s="471" t="e">
        <f t="shared" si="199"/>
        <v>#DIV/0!</v>
      </c>
      <c r="AI63" s="471" t="e">
        <f t="shared" si="199"/>
        <v>#DIV/0!</v>
      </c>
      <c r="AJ63" s="471" t="e">
        <f t="shared" si="199"/>
        <v>#DIV/0!</v>
      </c>
      <c r="AK63" s="471" t="e">
        <f t="shared" si="199"/>
        <v>#DIV/0!</v>
      </c>
      <c r="AL63" s="471" t="e">
        <f t="shared" si="199"/>
        <v>#DIV/0!</v>
      </c>
      <c r="AM63" s="471" t="e">
        <f t="shared" si="199"/>
        <v>#DIV/0!</v>
      </c>
      <c r="AN63" s="471" t="e">
        <f t="shared" si="199"/>
        <v>#DIV/0!</v>
      </c>
      <c r="AO63" s="471" t="e">
        <f t="shared" si="199"/>
        <v>#DIV/0!</v>
      </c>
      <c r="AP63" s="471" t="e">
        <f t="shared" si="199"/>
        <v>#DIV/0!</v>
      </c>
      <c r="AQ63" s="471" t="e">
        <f t="shared" si="199"/>
        <v>#DIV/0!</v>
      </c>
      <c r="AR63" s="471" t="e">
        <f t="shared" si="199"/>
        <v>#DIV/0!</v>
      </c>
      <c r="AS63" s="471" t="e">
        <f t="shared" si="199"/>
        <v>#DIV/0!</v>
      </c>
      <c r="AT63" s="471" t="e">
        <f t="shared" si="199"/>
        <v>#DIV/0!</v>
      </c>
      <c r="AU63" s="471" t="e">
        <f t="shared" si="199"/>
        <v>#DIV/0!</v>
      </c>
      <c r="AV63" s="471" t="e">
        <f t="shared" si="199"/>
        <v>#DIV/0!</v>
      </c>
      <c r="AW63" s="471" t="e">
        <f t="shared" si="199"/>
        <v>#DIV/0!</v>
      </c>
      <c r="AX63" s="471" t="e">
        <f t="shared" si="199"/>
        <v>#DIV/0!</v>
      </c>
      <c r="AY63" s="471" t="e">
        <f t="shared" si="199"/>
        <v>#DIV/0!</v>
      </c>
      <c r="AZ63" s="471" t="e">
        <f t="shared" si="199"/>
        <v>#DIV/0!</v>
      </c>
      <c r="BA63" s="471" t="e">
        <f t="shared" si="199"/>
        <v>#DIV/0!</v>
      </c>
      <c r="BB63" s="471" t="e">
        <f t="shared" si="199"/>
        <v>#DIV/0!</v>
      </c>
      <c r="BC63" s="471" t="e">
        <f t="shared" si="199"/>
        <v>#DIV/0!</v>
      </c>
      <c r="BD63" s="471" t="e">
        <f t="shared" si="199"/>
        <v>#DIV/0!</v>
      </c>
      <c r="BE63" s="471" t="e">
        <f t="shared" si="199"/>
        <v>#DIV/0!</v>
      </c>
      <c r="BF63" s="572" t="e">
        <f>SUM(S63:BE63)</f>
        <v>#DIV/0!</v>
      </c>
      <c r="BG63" s="471" t="e">
        <f t="shared" ref="BG63:BR63" si="200">IF($E$63="",0,$E$63/($CI$24-$CG$24-$CF$24-$F$24)*BG24)</f>
        <v>#DIV/0!</v>
      </c>
      <c r="BH63" s="471" t="e">
        <f t="shared" si="200"/>
        <v>#DIV/0!</v>
      </c>
      <c r="BI63" s="471" t="e">
        <f t="shared" si="200"/>
        <v>#DIV/0!</v>
      </c>
      <c r="BJ63" s="471" t="e">
        <f t="shared" si="200"/>
        <v>#DIV/0!</v>
      </c>
      <c r="BK63" s="471" t="e">
        <f t="shared" si="200"/>
        <v>#DIV/0!</v>
      </c>
      <c r="BL63" s="471" t="e">
        <f t="shared" si="200"/>
        <v>#DIV/0!</v>
      </c>
      <c r="BM63" s="471" t="e">
        <f t="shared" si="200"/>
        <v>#DIV/0!</v>
      </c>
      <c r="BN63" s="471" t="e">
        <f t="shared" si="200"/>
        <v>#DIV/0!</v>
      </c>
      <c r="BO63" s="471" t="e">
        <f t="shared" si="200"/>
        <v>#DIV/0!</v>
      </c>
      <c r="BP63" s="471" t="e">
        <f t="shared" si="200"/>
        <v>#DIV/0!</v>
      </c>
      <c r="BQ63" s="471" t="e">
        <f t="shared" si="200"/>
        <v>#DIV/0!</v>
      </c>
      <c r="BR63" s="471" t="e">
        <f t="shared" si="200"/>
        <v>#DIV/0!</v>
      </c>
      <c r="BS63" s="572" t="e">
        <f>SUM(BG63:BR63)</f>
        <v>#DIV/0!</v>
      </c>
      <c r="BT63" s="471" t="e">
        <f>IF($E$63="",0,$E$63/($CI$24-$CG$24-$CF$24-$H$27-$F$27)*BT24)</f>
        <v>#DIV/0!</v>
      </c>
      <c r="BU63" s="471" t="e">
        <f>IF($E$63="",0,$E$63/($CI$24-$CG$24-$CF$24-$H$27-$F$27)*BU24)</f>
        <v>#DIV/0!</v>
      </c>
      <c r="BV63" s="471" t="e">
        <f>IF($E$63="",0,$E$63/($CI$24-$CG$24-$CF$24-$H$27-$F$27)*BV24)</f>
        <v>#DIV/0!</v>
      </c>
      <c r="BW63" s="434"/>
      <c r="BX63" s="437" t="e">
        <f t="shared" ref="BX63:CD63" si="201">IF($E$63="",0,$E$63/($CI$24-$CG$24-$CF$24-$F$24)*BX24)</f>
        <v>#DIV/0!</v>
      </c>
      <c r="BY63" s="437" t="e">
        <f t="shared" si="201"/>
        <v>#DIV/0!</v>
      </c>
      <c r="BZ63" s="437" t="e">
        <f t="shared" si="201"/>
        <v>#DIV/0!</v>
      </c>
      <c r="CA63" s="437" t="e">
        <f t="shared" si="201"/>
        <v>#DIV/0!</v>
      </c>
      <c r="CB63" s="437" t="e">
        <f t="shared" si="201"/>
        <v>#DIV/0!</v>
      </c>
      <c r="CC63" s="437" t="e">
        <f t="shared" si="201"/>
        <v>#DIV/0!</v>
      </c>
      <c r="CD63" s="1014" t="e">
        <f t="shared" si="201"/>
        <v>#DIV/0!</v>
      </c>
      <c r="CE63" s="471" t="e">
        <f>SUM(BX63:CD63)</f>
        <v>#DIV/0!</v>
      </c>
      <c r="CF63" s="881"/>
      <c r="CG63" s="881"/>
      <c r="CH63" s="583" t="e">
        <f>IF($E$63="",0,$E$63/($CI$24-$CG$24-$CF$24-$F$24)*CH24)</f>
        <v>#DIV/0!</v>
      </c>
      <c r="CI63" s="881" t="e">
        <f>CH63+CE63+BS63+BF63+R63</f>
        <v>#DIV/0!</v>
      </c>
      <c r="CJ63" s="581"/>
      <c r="CK63" s="761"/>
      <c r="CL63" s="761"/>
      <c r="CM63" s="761"/>
      <c r="CN63" s="761"/>
      <c r="CO63" s="761"/>
      <c r="CP63" s="761"/>
      <c r="CQ63" s="761"/>
      <c r="CR63" s="761"/>
      <c r="CS63" s="761"/>
      <c r="CT63" s="761"/>
      <c r="CU63" s="761"/>
      <c r="CV63" s="465"/>
      <c r="CW63" s="431"/>
      <c r="CX63" s="431"/>
      <c r="CY63" s="431"/>
    </row>
    <row r="64" spans="1:103" s="147" customFormat="1">
      <c r="A64" s="102"/>
      <c r="B64" s="891" t="s">
        <v>1438</v>
      </c>
      <c r="C64" s="275"/>
      <c r="D64" s="276" t="s">
        <v>162</v>
      </c>
      <c r="E64" s="1063"/>
      <c r="F64" s="439"/>
      <c r="G64" s="440"/>
      <c r="H64" s="439"/>
      <c r="I64" s="441"/>
      <c r="J64" s="441"/>
      <c r="K64" s="441"/>
      <c r="L64" s="441"/>
      <c r="M64" s="441"/>
      <c r="N64" s="441"/>
      <c r="O64" s="441"/>
      <c r="P64" s="441"/>
      <c r="Q64" s="441"/>
      <c r="R64" s="442"/>
      <c r="S64" s="441"/>
      <c r="T64" s="441"/>
      <c r="U64" s="441"/>
      <c r="V64" s="441"/>
      <c r="W64" s="441"/>
      <c r="X64" s="441"/>
      <c r="Y64" s="441"/>
      <c r="Z64" s="441"/>
      <c r="AA64" s="441"/>
      <c r="AB64" s="441"/>
      <c r="AC64" s="441"/>
      <c r="AD64" s="441"/>
      <c r="AE64" s="441"/>
      <c r="AF64" s="441"/>
      <c r="AG64" s="441"/>
      <c r="AH64" s="441"/>
      <c r="AI64" s="441"/>
      <c r="AJ64" s="441"/>
      <c r="AK64" s="441"/>
      <c r="AL64" s="441"/>
      <c r="AM64" s="441"/>
      <c r="AN64" s="441"/>
      <c r="AO64" s="441"/>
      <c r="AP64" s="441"/>
      <c r="AQ64" s="441"/>
      <c r="AR64" s="441"/>
      <c r="AS64" s="441"/>
      <c r="AT64" s="441"/>
      <c r="AU64" s="441"/>
      <c r="AV64" s="441"/>
      <c r="AW64" s="441"/>
      <c r="AX64" s="441"/>
      <c r="AY64" s="441"/>
      <c r="AZ64" s="441"/>
      <c r="BA64" s="441"/>
      <c r="BB64" s="441"/>
      <c r="BC64" s="441"/>
      <c r="BD64" s="441"/>
      <c r="BE64" s="441"/>
      <c r="BF64" s="442"/>
      <c r="BG64" s="441"/>
      <c r="BH64" s="441"/>
      <c r="BI64" s="441"/>
      <c r="BJ64" s="441"/>
      <c r="BK64" s="441"/>
      <c r="BL64" s="441"/>
      <c r="BM64" s="441"/>
      <c r="BN64" s="441"/>
      <c r="BO64" s="441"/>
      <c r="BP64" s="441"/>
      <c r="BQ64" s="441"/>
      <c r="BR64" s="441"/>
      <c r="BS64" s="442"/>
      <c r="BT64" s="441"/>
      <c r="BU64" s="441"/>
      <c r="BV64" s="443"/>
      <c r="BW64" s="434"/>
      <c r="BX64" s="584"/>
      <c r="BY64" s="584"/>
      <c r="BZ64" s="584"/>
      <c r="CA64" s="584"/>
      <c r="CB64" s="584"/>
      <c r="CC64" s="584"/>
      <c r="CD64" s="584"/>
      <c r="CE64" s="443"/>
      <c r="CF64" s="434"/>
      <c r="CG64" s="434"/>
      <c r="CH64" s="470"/>
      <c r="CI64" s="434"/>
      <c r="CJ64" s="581"/>
      <c r="CK64" s="761"/>
      <c r="CL64" s="761"/>
      <c r="CM64" s="761"/>
      <c r="CN64" s="761"/>
      <c r="CO64" s="761"/>
      <c r="CP64" s="761"/>
      <c r="CQ64" s="761"/>
      <c r="CR64" s="761"/>
      <c r="CS64" s="761"/>
      <c r="CT64" s="761"/>
      <c r="CU64" s="761"/>
      <c r="CV64" s="465"/>
      <c r="CW64" s="431"/>
      <c r="CX64" s="431"/>
      <c r="CY64" s="431"/>
    </row>
    <row r="65" spans="1:103" s="147" customFormat="1">
      <c r="A65" s="102"/>
      <c r="B65" s="892" t="s">
        <v>1440</v>
      </c>
      <c r="C65" s="277"/>
      <c r="D65" s="278"/>
      <c r="E65" s="1017">
        <f>(0.73*40)/365/100</f>
        <v>8.0000000000000004E-4</v>
      </c>
      <c r="F65" s="1018">
        <f>+E65</f>
        <v>8.0000000000000004E-4</v>
      </c>
      <c r="G65" s="1018">
        <f>+F65</f>
        <v>8.0000000000000004E-4</v>
      </c>
      <c r="H65" s="1018">
        <f>+F65</f>
        <v>8.0000000000000004E-4</v>
      </c>
      <c r="I65" s="448">
        <f t="shared" ref="I65:Q65" si="202">+$E$65</f>
        <v>8.0000000000000004E-4</v>
      </c>
      <c r="J65" s="448">
        <f t="shared" si="202"/>
        <v>8.0000000000000004E-4</v>
      </c>
      <c r="K65" s="448"/>
      <c r="L65" s="448">
        <f t="shared" si="202"/>
        <v>8.0000000000000004E-4</v>
      </c>
      <c r="M65" s="448">
        <f t="shared" si="202"/>
        <v>8.0000000000000004E-4</v>
      </c>
      <c r="N65" s="448"/>
      <c r="O65" s="448">
        <f t="shared" si="202"/>
        <v>8.0000000000000004E-4</v>
      </c>
      <c r="P65" s="448">
        <f t="shared" si="202"/>
        <v>8.0000000000000004E-4</v>
      </c>
      <c r="Q65" s="448">
        <f t="shared" si="202"/>
        <v>8.0000000000000004E-4</v>
      </c>
      <c r="R65" s="1019"/>
      <c r="S65" s="448">
        <f t="shared" ref="S65:BE65" si="203">+$E$65</f>
        <v>8.0000000000000004E-4</v>
      </c>
      <c r="T65" s="448">
        <f t="shared" si="203"/>
        <v>8.0000000000000004E-4</v>
      </c>
      <c r="U65" s="448">
        <f t="shared" si="203"/>
        <v>8.0000000000000004E-4</v>
      </c>
      <c r="V65" s="448">
        <f t="shared" si="203"/>
        <v>8.0000000000000004E-4</v>
      </c>
      <c r="W65" s="448">
        <f t="shared" si="203"/>
        <v>8.0000000000000004E-4</v>
      </c>
      <c r="X65" s="448">
        <f t="shared" si="203"/>
        <v>8.0000000000000004E-4</v>
      </c>
      <c r="Y65" s="448">
        <f t="shared" si="203"/>
        <v>8.0000000000000004E-4</v>
      </c>
      <c r="Z65" s="448">
        <f t="shared" si="203"/>
        <v>8.0000000000000004E-4</v>
      </c>
      <c r="AA65" s="448">
        <f t="shared" si="203"/>
        <v>8.0000000000000004E-4</v>
      </c>
      <c r="AB65" s="448">
        <f t="shared" si="203"/>
        <v>8.0000000000000004E-4</v>
      </c>
      <c r="AC65" s="448">
        <f t="shared" si="203"/>
        <v>8.0000000000000004E-4</v>
      </c>
      <c r="AD65" s="448">
        <f t="shared" si="203"/>
        <v>8.0000000000000004E-4</v>
      </c>
      <c r="AE65" s="448">
        <f t="shared" si="203"/>
        <v>8.0000000000000004E-4</v>
      </c>
      <c r="AF65" s="448">
        <f t="shared" si="203"/>
        <v>8.0000000000000004E-4</v>
      </c>
      <c r="AG65" s="448">
        <f t="shared" si="203"/>
        <v>8.0000000000000004E-4</v>
      </c>
      <c r="AH65" s="448">
        <f t="shared" si="203"/>
        <v>8.0000000000000004E-4</v>
      </c>
      <c r="AI65" s="448">
        <f t="shared" si="203"/>
        <v>8.0000000000000004E-4</v>
      </c>
      <c r="AJ65" s="448">
        <f t="shared" si="203"/>
        <v>8.0000000000000004E-4</v>
      </c>
      <c r="AK65" s="448">
        <f t="shared" si="203"/>
        <v>8.0000000000000004E-4</v>
      </c>
      <c r="AL65" s="448">
        <f t="shared" si="203"/>
        <v>8.0000000000000004E-4</v>
      </c>
      <c r="AM65" s="448">
        <f t="shared" si="203"/>
        <v>8.0000000000000004E-4</v>
      </c>
      <c r="AN65" s="448">
        <f t="shared" si="203"/>
        <v>8.0000000000000004E-4</v>
      </c>
      <c r="AO65" s="448">
        <f t="shared" si="203"/>
        <v>8.0000000000000004E-4</v>
      </c>
      <c r="AP65" s="448">
        <f t="shared" si="203"/>
        <v>8.0000000000000004E-4</v>
      </c>
      <c r="AQ65" s="448">
        <f t="shared" si="203"/>
        <v>8.0000000000000004E-4</v>
      </c>
      <c r="AR65" s="448">
        <f t="shared" si="203"/>
        <v>8.0000000000000004E-4</v>
      </c>
      <c r="AS65" s="448">
        <f t="shared" si="203"/>
        <v>8.0000000000000004E-4</v>
      </c>
      <c r="AT65" s="448">
        <f t="shared" si="203"/>
        <v>8.0000000000000004E-4</v>
      </c>
      <c r="AU65" s="448">
        <f t="shared" si="203"/>
        <v>8.0000000000000004E-4</v>
      </c>
      <c r="AV65" s="448">
        <f t="shared" si="203"/>
        <v>8.0000000000000004E-4</v>
      </c>
      <c r="AW65" s="448">
        <f t="shared" si="203"/>
        <v>8.0000000000000004E-4</v>
      </c>
      <c r="AX65" s="448">
        <f t="shared" si="203"/>
        <v>8.0000000000000004E-4</v>
      </c>
      <c r="AY65" s="448">
        <f t="shared" si="203"/>
        <v>8.0000000000000004E-4</v>
      </c>
      <c r="AZ65" s="448">
        <f t="shared" si="203"/>
        <v>8.0000000000000004E-4</v>
      </c>
      <c r="BA65" s="448">
        <f t="shared" si="203"/>
        <v>8.0000000000000004E-4</v>
      </c>
      <c r="BB65" s="448">
        <f t="shared" si="203"/>
        <v>8.0000000000000004E-4</v>
      </c>
      <c r="BC65" s="448">
        <f t="shared" si="203"/>
        <v>8.0000000000000004E-4</v>
      </c>
      <c r="BD65" s="448">
        <f t="shared" si="203"/>
        <v>8.0000000000000004E-4</v>
      </c>
      <c r="BE65" s="448">
        <f t="shared" si="203"/>
        <v>8.0000000000000004E-4</v>
      </c>
      <c r="BF65" s="1019"/>
      <c r="BG65" s="448">
        <f t="shared" ref="BG65:BR65" si="204">+$E$65</f>
        <v>8.0000000000000004E-4</v>
      </c>
      <c r="BH65" s="448">
        <f t="shared" si="204"/>
        <v>8.0000000000000004E-4</v>
      </c>
      <c r="BI65" s="448">
        <f t="shared" si="204"/>
        <v>8.0000000000000004E-4</v>
      </c>
      <c r="BJ65" s="448">
        <f t="shared" si="204"/>
        <v>8.0000000000000004E-4</v>
      </c>
      <c r="BK65" s="448">
        <f t="shared" si="204"/>
        <v>8.0000000000000004E-4</v>
      </c>
      <c r="BL65" s="448">
        <f t="shared" si="204"/>
        <v>8.0000000000000004E-4</v>
      </c>
      <c r="BM65" s="448">
        <f t="shared" si="204"/>
        <v>8.0000000000000004E-4</v>
      </c>
      <c r="BN65" s="448">
        <f t="shared" si="204"/>
        <v>8.0000000000000004E-4</v>
      </c>
      <c r="BO65" s="448">
        <f t="shared" si="204"/>
        <v>8.0000000000000004E-4</v>
      </c>
      <c r="BP65" s="448">
        <f t="shared" si="204"/>
        <v>8.0000000000000004E-4</v>
      </c>
      <c r="BQ65" s="448">
        <f t="shared" si="204"/>
        <v>8.0000000000000004E-4</v>
      </c>
      <c r="BR65" s="448">
        <f t="shared" si="204"/>
        <v>8.0000000000000004E-4</v>
      </c>
      <c r="BS65" s="1019"/>
      <c r="BT65" s="448">
        <f t="shared" ref="BT65:CG65" si="205">+$E$65</f>
        <v>8.0000000000000004E-4</v>
      </c>
      <c r="BU65" s="448">
        <f t="shared" si="205"/>
        <v>8.0000000000000004E-4</v>
      </c>
      <c r="BV65" s="448">
        <f t="shared" si="205"/>
        <v>8.0000000000000004E-4</v>
      </c>
      <c r="BW65" s="434"/>
      <c r="BX65" s="445">
        <f t="shared" si="205"/>
        <v>8.0000000000000004E-4</v>
      </c>
      <c r="BY65" s="445">
        <f t="shared" si="205"/>
        <v>8.0000000000000004E-4</v>
      </c>
      <c r="BZ65" s="445">
        <f t="shared" si="205"/>
        <v>8.0000000000000004E-4</v>
      </c>
      <c r="CA65" s="445">
        <f t="shared" si="205"/>
        <v>8.0000000000000004E-4</v>
      </c>
      <c r="CB65" s="445">
        <f t="shared" si="205"/>
        <v>8.0000000000000004E-4</v>
      </c>
      <c r="CC65" s="445">
        <f t="shared" si="205"/>
        <v>8.0000000000000004E-4</v>
      </c>
      <c r="CD65" s="1015">
        <f t="shared" si="205"/>
        <v>8.0000000000000004E-4</v>
      </c>
      <c r="CE65" s="448">
        <f t="shared" si="205"/>
        <v>8.0000000000000004E-4</v>
      </c>
      <c r="CF65" s="447">
        <f t="shared" si="205"/>
        <v>8.0000000000000004E-4</v>
      </c>
      <c r="CG65" s="447">
        <f t="shared" si="205"/>
        <v>8.0000000000000004E-4</v>
      </c>
      <c r="CH65" s="448">
        <f>+$E$65</f>
        <v>8.0000000000000004E-4</v>
      </c>
      <c r="CI65" s="448">
        <f>+$E$65</f>
        <v>8.0000000000000004E-4</v>
      </c>
      <c r="CJ65" s="581"/>
      <c r="CK65" s="581"/>
      <c r="CL65" s="581"/>
      <c r="CM65" s="581"/>
      <c r="CN65" s="581"/>
      <c r="CO65" s="581"/>
      <c r="CP65" s="581"/>
      <c r="CQ65" s="581"/>
      <c r="CR65" s="581"/>
      <c r="CS65" s="581"/>
      <c r="CT65" s="581"/>
      <c r="CU65" s="581"/>
      <c r="CV65" s="465"/>
      <c r="CW65" s="431"/>
      <c r="CX65" s="431"/>
      <c r="CY65" s="431"/>
    </row>
    <row r="66" spans="1:103" s="147" customFormat="1">
      <c r="B66" s="279" t="s">
        <v>95</v>
      </c>
      <c r="C66" s="280"/>
      <c r="D66" s="280"/>
      <c r="E66" s="166"/>
      <c r="F66" s="1016"/>
      <c r="G66" s="1016"/>
      <c r="H66" s="1016"/>
      <c r="I66" s="427"/>
      <c r="J66" s="1064"/>
      <c r="K66" s="427"/>
      <c r="L66" s="427"/>
      <c r="M66" s="1064"/>
      <c r="N66" s="427"/>
      <c r="O66" s="427"/>
      <c r="P66" s="427"/>
      <c r="Q66" s="1064"/>
      <c r="R66" s="427"/>
      <c r="S66" s="427"/>
      <c r="T66" s="1064"/>
      <c r="U66" s="427"/>
      <c r="V66" s="1064"/>
      <c r="W66" s="427"/>
      <c r="X66" s="1064"/>
      <c r="Y66" s="427"/>
      <c r="Z66" s="1064"/>
      <c r="AA66" s="427"/>
      <c r="AB66" s="1064"/>
      <c r="AC66" s="427"/>
      <c r="AD66" s="1064"/>
      <c r="AE66" s="427"/>
      <c r="AF66" s="1064"/>
      <c r="AG66" s="427"/>
      <c r="AH66" s="1064"/>
      <c r="AI66" s="427"/>
      <c r="AJ66" s="1064"/>
      <c r="AK66" s="427"/>
      <c r="AL66" s="1064"/>
      <c r="AM66" s="427"/>
      <c r="AN66" s="1064"/>
      <c r="AO66" s="427"/>
      <c r="AP66" s="1064"/>
      <c r="AQ66" s="427"/>
      <c r="AR66" s="1064"/>
      <c r="AS66" s="427"/>
      <c r="AT66" s="1064"/>
      <c r="AU66" s="427"/>
      <c r="AV66" s="1064"/>
      <c r="AW66" s="427"/>
      <c r="AX66" s="1064"/>
      <c r="AY66" s="427"/>
      <c r="AZ66" s="1064"/>
      <c r="BA66" s="427"/>
      <c r="BB66" s="1064"/>
      <c r="BC66" s="427"/>
      <c r="BD66" s="427"/>
      <c r="BE66" s="1064"/>
      <c r="BF66" s="427"/>
      <c r="BG66" s="427"/>
      <c r="BH66" s="1064"/>
      <c r="BI66" s="427"/>
      <c r="BJ66" s="1064"/>
      <c r="BK66" s="427"/>
      <c r="BL66" s="427"/>
      <c r="BM66" s="1064"/>
      <c r="BN66" s="427"/>
      <c r="BO66" s="1064"/>
      <c r="BP66" s="427"/>
      <c r="BQ66" s="427"/>
      <c r="BR66" s="1064"/>
      <c r="BS66" s="427"/>
      <c r="BT66" s="432"/>
      <c r="BU66" s="432"/>
      <c r="BV66" s="432"/>
      <c r="BW66" s="434"/>
      <c r="BX66" s="432"/>
      <c r="BY66" s="432"/>
      <c r="BZ66" s="432"/>
      <c r="CA66" s="432"/>
      <c r="CB66" s="432"/>
      <c r="CC66" s="432"/>
      <c r="CD66" s="432"/>
      <c r="CE66" s="432"/>
      <c r="CF66" s="434"/>
      <c r="CG66" s="434"/>
      <c r="CH66" s="432"/>
      <c r="CI66" s="432"/>
      <c r="CJ66" s="581"/>
      <c r="CK66" s="581"/>
      <c r="CL66" s="581"/>
      <c r="CM66" s="581"/>
      <c r="CN66" s="581"/>
      <c r="CO66" s="581"/>
      <c r="CP66" s="581"/>
      <c r="CQ66" s="581"/>
      <c r="CR66" s="581"/>
      <c r="CS66" s="581"/>
      <c r="CT66" s="581"/>
      <c r="CU66" s="581"/>
      <c r="CV66" s="465"/>
      <c r="CW66" s="431"/>
      <c r="CX66" s="431"/>
      <c r="CY66" s="431"/>
    </row>
    <row r="67" spans="1:103">
      <c r="A67" s="147"/>
      <c r="B67" s="281" t="s">
        <v>161</v>
      </c>
      <c r="C67" s="628"/>
      <c r="D67" s="629"/>
      <c r="E67" s="630"/>
      <c r="F67" s="383"/>
      <c r="G67" s="383"/>
      <c r="H67" s="383"/>
      <c r="I67" s="383"/>
      <c r="J67" s="383">
        <f>+Zusatzinfos!D16</f>
        <v>0</v>
      </c>
      <c r="K67" s="383"/>
      <c r="L67" s="383"/>
      <c r="M67" s="383">
        <f>+Zusatzinfos!F16</f>
        <v>0</v>
      </c>
      <c r="N67" s="383"/>
      <c r="O67" s="383"/>
      <c r="P67" s="383"/>
      <c r="Q67" s="383">
        <f>+Zusatzinfos!I16</f>
        <v>0</v>
      </c>
      <c r="R67" s="383"/>
      <c r="S67" s="383"/>
      <c r="T67" s="383">
        <f>+Zusatzinfos!L16</f>
        <v>0</v>
      </c>
      <c r="U67" s="383"/>
      <c r="V67" s="383">
        <f>+Zusatzinfos!N16</f>
        <v>0</v>
      </c>
      <c r="W67" s="383"/>
      <c r="X67" s="383">
        <f>+Zusatzinfos!P16</f>
        <v>0</v>
      </c>
      <c r="Y67" s="383"/>
      <c r="Z67" s="383">
        <f>+Zusatzinfos!R16</f>
        <v>0</v>
      </c>
      <c r="AA67" s="383"/>
      <c r="AB67" s="383">
        <f>+Zusatzinfos!T16</f>
        <v>0</v>
      </c>
      <c r="AC67" s="383"/>
      <c r="AD67" s="383">
        <f>+Zusatzinfos!V16</f>
        <v>0</v>
      </c>
      <c r="AE67" s="383"/>
      <c r="AF67" s="383">
        <f>+Zusatzinfos!X16</f>
        <v>0</v>
      </c>
      <c r="AG67" s="383"/>
      <c r="AH67" s="383">
        <f>+Zusatzinfos!Z16</f>
        <v>0</v>
      </c>
      <c r="AI67" s="383"/>
      <c r="AJ67" s="383">
        <f>+Zusatzinfos!AB16</f>
        <v>0</v>
      </c>
      <c r="AK67" s="383"/>
      <c r="AL67" s="383">
        <f>+Zusatzinfos!AD16</f>
        <v>0</v>
      </c>
      <c r="AM67" s="383"/>
      <c r="AN67" s="383">
        <f>+Zusatzinfos!AF16</f>
        <v>0</v>
      </c>
      <c r="AO67" s="383"/>
      <c r="AP67" s="383">
        <f>+Zusatzinfos!AH16</f>
        <v>0</v>
      </c>
      <c r="AQ67" s="383"/>
      <c r="AR67" s="383">
        <f>+Zusatzinfos!AJ16</f>
        <v>0</v>
      </c>
      <c r="AS67" s="383"/>
      <c r="AT67" s="383">
        <f>+Zusatzinfos!AL16</f>
        <v>0</v>
      </c>
      <c r="AU67" s="383"/>
      <c r="AV67" s="383">
        <f>+Zusatzinfos!AN16</f>
        <v>0</v>
      </c>
      <c r="AW67" s="383"/>
      <c r="AX67" s="383">
        <f>+Zusatzinfos!AP16</f>
        <v>0</v>
      </c>
      <c r="AY67" s="383"/>
      <c r="AZ67" s="383">
        <f>+Zusatzinfos!AR16</f>
        <v>0</v>
      </c>
      <c r="BA67" s="383"/>
      <c r="BB67" s="383">
        <f>+Zusatzinfos!AT16</f>
        <v>0</v>
      </c>
      <c r="BC67" s="383"/>
      <c r="BD67" s="383"/>
      <c r="BE67" s="383">
        <f>+Zusatzinfos!AW16</f>
        <v>0</v>
      </c>
      <c r="BF67" s="383"/>
      <c r="BG67" s="383"/>
      <c r="BH67" s="383">
        <f>+Zusatzinfos!AZ16</f>
        <v>0</v>
      </c>
      <c r="BI67" s="383"/>
      <c r="BJ67" s="383">
        <f>+Zusatzinfos!BB16</f>
        <v>0</v>
      </c>
      <c r="BK67" s="383"/>
      <c r="BL67" s="383"/>
      <c r="BM67" s="383">
        <f>+Zusatzinfos!BE16</f>
        <v>0</v>
      </c>
      <c r="BN67" s="383"/>
      <c r="BO67" s="383">
        <f>+Zusatzinfos!BG16</f>
        <v>0</v>
      </c>
      <c r="BP67" s="383"/>
      <c r="BQ67" s="383"/>
      <c r="BR67" s="383">
        <f>+Zusatzinfos!BJ16</f>
        <v>0</v>
      </c>
      <c r="BS67" s="383"/>
      <c r="BT67" s="384"/>
      <c r="BU67" s="384"/>
      <c r="BV67" s="384"/>
      <c r="BW67" s="384"/>
      <c r="BX67" s="384"/>
      <c r="BY67" s="384"/>
      <c r="BZ67" s="384"/>
      <c r="CA67" s="384"/>
      <c r="CB67" s="384"/>
      <c r="CC67" s="384"/>
      <c r="CD67" s="384"/>
      <c r="CE67" s="384"/>
      <c r="CF67" s="384"/>
      <c r="CG67" s="384"/>
      <c r="CH67" s="384"/>
      <c r="CI67" s="384"/>
      <c r="CJ67" s="384"/>
      <c r="CK67" s="384"/>
      <c r="CL67" s="384"/>
      <c r="CM67" s="384"/>
      <c r="CN67" s="384"/>
      <c r="CO67" s="384"/>
      <c r="CP67" s="384"/>
      <c r="CQ67" s="384"/>
      <c r="CR67" s="384"/>
      <c r="CS67" s="384"/>
      <c r="CT67" s="384"/>
      <c r="CU67" s="384"/>
      <c r="CV67" s="465"/>
      <c r="CW67" s="431"/>
      <c r="CX67" s="431"/>
      <c r="CY67" s="431"/>
    </row>
    <row r="68" spans="1:103">
      <c r="A68" s="147"/>
      <c r="B68" s="279" t="s">
        <v>103</v>
      </c>
      <c r="C68" s="280"/>
      <c r="D68" s="282" t="s">
        <v>1442</v>
      </c>
      <c r="E68" s="631" t="s">
        <v>156</v>
      </c>
      <c r="F68" s="426"/>
      <c r="G68" s="426"/>
      <c r="H68" s="426"/>
      <c r="I68" s="434"/>
      <c r="J68" s="434"/>
      <c r="K68" s="434"/>
      <c r="L68" s="434"/>
      <c r="M68" s="434"/>
      <c r="N68" s="434"/>
      <c r="O68" s="432"/>
      <c r="P68" s="434"/>
      <c r="Q68" s="434"/>
      <c r="R68" s="432"/>
      <c r="S68" s="434"/>
      <c r="T68" s="434"/>
      <c r="U68" s="434"/>
      <c r="V68" s="434"/>
      <c r="W68" s="434"/>
      <c r="X68" s="434"/>
      <c r="Y68" s="434"/>
      <c r="Z68" s="434"/>
      <c r="AA68" s="434"/>
      <c r="AB68" s="434"/>
      <c r="AC68" s="434"/>
      <c r="AD68" s="434"/>
      <c r="AE68" s="434"/>
      <c r="AF68" s="434"/>
      <c r="AG68" s="434"/>
      <c r="AH68" s="434"/>
      <c r="AI68" s="434"/>
      <c r="AJ68" s="434"/>
      <c r="AK68" s="434"/>
      <c r="AL68" s="434"/>
      <c r="AM68" s="434"/>
      <c r="AN68" s="434"/>
      <c r="AO68" s="434"/>
      <c r="AP68" s="434"/>
      <c r="AQ68" s="434"/>
      <c r="AR68" s="434"/>
      <c r="AS68" s="434"/>
      <c r="AT68" s="434"/>
      <c r="AU68" s="434"/>
      <c r="AV68" s="434"/>
      <c r="AW68" s="434"/>
      <c r="AX68" s="434"/>
      <c r="AY68" s="434"/>
      <c r="AZ68" s="434"/>
      <c r="BA68" s="434"/>
      <c r="BB68" s="434"/>
      <c r="BC68" s="434"/>
      <c r="BD68" s="434"/>
      <c r="BE68" s="434"/>
      <c r="BF68" s="434"/>
      <c r="BG68" s="434"/>
      <c r="BH68" s="434"/>
      <c r="BI68" s="434"/>
      <c r="BJ68" s="434"/>
      <c r="BK68" s="432"/>
      <c r="BL68" s="434"/>
      <c r="BM68" s="434"/>
      <c r="BN68" s="434"/>
      <c r="BO68" s="434"/>
      <c r="BP68" s="432"/>
      <c r="BQ68" s="434"/>
      <c r="BR68" s="434"/>
      <c r="BS68" s="434"/>
      <c r="BT68" s="432"/>
      <c r="BU68" s="432"/>
      <c r="BV68" s="432"/>
      <c r="BW68" s="434"/>
      <c r="BX68" s="433"/>
      <c r="BY68" s="433"/>
      <c r="BZ68" s="433"/>
      <c r="CA68" s="433"/>
      <c r="CB68" s="433"/>
      <c r="CC68" s="433"/>
      <c r="CD68" s="433"/>
      <c r="CE68" s="433"/>
      <c r="CF68" s="434"/>
      <c r="CG68" s="434"/>
      <c r="CH68" s="432"/>
      <c r="CI68" s="434"/>
      <c r="CJ68" s="581"/>
      <c r="CK68" s="581"/>
      <c r="CL68" s="581"/>
      <c r="CM68" s="581"/>
      <c r="CN68" s="581"/>
      <c r="CO68" s="581"/>
      <c r="CP68" s="581"/>
      <c r="CQ68" s="581"/>
      <c r="CR68" s="581"/>
      <c r="CS68" s="581"/>
      <c r="CT68" s="581"/>
      <c r="CU68" s="581"/>
      <c r="CV68" s="465"/>
      <c r="CW68" s="431"/>
      <c r="CX68" s="431"/>
      <c r="CY68" s="431"/>
    </row>
    <row r="69" spans="1:103">
      <c r="A69" s="147"/>
      <c r="B69" s="156" t="s">
        <v>99</v>
      </c>
      <c r="C69" s="632"/>
      <c r="D69" s="633" t="e">
        <f>(E8+E9)/(E15-E14)</f>
        <v>#DIV/0!</v>
      </c>
      <c r="E69" s="1067"/>
      <c r="F69" s="431"/>
      <c r="G69" s="431"/>
      <c r="H69" s="431"/>
      <c r="I69" s="432"/>
      <c r="J69" s="432"/>
      <c r="K69" s="432"/>
      <c r="L69" s="433"/>
      <c r="M69" s="433"/>
      <c r="N69" s="433"/>
      <c r="O69" s="433"/>
      <c r="P69" s="432"/>
      <c r="Q69" s="432"/>
      <c r="R69" s="433"/>
      <c r="S69" s="432"/>
      <c r="T69" s="432"/>
      <c r="U69" s="433"/>
      <c r="V69" s="433"/>
      <c r="W69" s="432"/>
      <c r="X69" s="432"/>
      <c r="Y69" s="433"/>
      <c r="Z69" s="433"/>
      <c r="AA69" s="432"/>
      <c r="AB69" s="432"/>
      <c r="AC69" s="433"/>
      <c r="AD69" s="433"/>
      <c r="AE69" s="432"/>
      <c r="AF69" s="432"/>
      <c r="AG69" s="433"/>
      <c r="AH69" s="433"/>
      <c r="AI69" s="432"/>
      <c r="AJ69" s="432"/>
      <c r="AK69" s="433"/>
      <c r="AL69" s="433"/>
      <c r="AM69" s="432"/>
      <c r="AN69" s="432"/>
      <c r="AO69" s="433"/>
      <c r="AP69" s="433"/>
      <c r="AQ69" s="433"/>
      <c r="AR69" s="433"/>
      <c r="AS69" s="433"/>
      <c r="AT69" s="433"/>
      <c r="AU69" s="433"/>
      <c r="AV69" s="433"/>
      <c r="AW69" s="433"/>
      <c r="AX69" s="433"/>
      <c r="AY69" s="433"/>
      <c r="AZ69" s="433"/>
      <c r="BA69" s="433"/>
      <c r="BB69" s="433"/>
      <c r="BC69" s="433"/>
      <c r="BD69" s="432"/>
      <c r="BE69" s="432"/>
      <c r="BF69" s="432"/>
      <c r="BG69" s="432"/>
      <c r="BH69" s="432"/>
      <c r="BI69" s="433"/>
      <c r="BJ69" s="433"/>
      <c r="BK69" s="433"/>
      <c r="BL69" s="432"/>
      <c r="BM69" s="432"/>
      <c r="BN69" s="433"/>
      <c r="BO69" s="433"/>
      <c r="BP69" s="433"/>
      <c r="BQ69" s="433"/>
      <c r="BR69" s="433"/>
      <c r="BS69" s="432"/>
      <c r="BT69" s="432"/>
      <c r="BU69" s="432"/>
      <c r="BV69" s="432"/>
      <c r="BW69" s="434"/>
      <c r="BX69" s="433"/>
      <c r="BY69" s="433"/>
      <c r="BZ69" s="433"/>
      <c r="CA69" s="433"/>
      <c r="CB69" s="433"/>
      <c r="CC69" s="433"/>
      <c r="CD69" s="433"/>
      <c r="CE69" s="433"/>
      <c r="CF69" s="434"/>
      <c r="CG69" s="434"/>
      <c r="CH69" s="434"/>
      <c r="CI69" s="384"/>
      <c r="CJ69" s="384"/>
      <c r="CK69" s="612"/>
      <c r="CL69" s="432"/>
      <c r="CM69" s="432"/>
      <c r="CN69" s="432"/>
      <c r="CO69" s="432"/>
      <c r="CP69" s="432"/>
      <c r="CQ69" s="432"/>
      <c r="CR69" s="432"/>
      <c r="CS69" s="432"/>
      <c r="CT69" s="432"/>
      <c r="CU69" s="432"/>
      <c r="CV69" s="465"/>
      <c r="CW69" s="431"/>
      <c r="CX69" s="431"/>
      <c r="CY69" s="431"/>
    </row>
    <row r="70" spans="1:103">
      <c r="A70" s="147"/>
      <c r="B70" s="281" t="s">
        <v>100</v>
      </c>
      <c r="C70" s="253"/>
      <c r="D70" s="633" t="e">
        <f>(E10+E11+E12+E13)/(E15-E14)</f>
        <v>#DIV/0!</v>
      </c>
      <c r="E70" s="1068"/>
      <c r="F70" s="585"/>
      <c r="G70" s="452"/>
      <c r="H70" s="451"/>
      <c r="I70" s="454"/>
      <c r="J70" s="454" t="e">
        <f>+$D$69*$E$69%+$D$70*$E$70%</f>
        <v>#DIV/0!</v>
      </c>
      <c r="K70" s="454"/>
      <c r="L70" s="454"/>
      <c r="M70" s="454" t="e">
        <f>+$D$69*$E$69%+$D$70*$E$70%</f>
        <v>#DIV/0!</v>
      </c>
      <c r="N70" s="454"/>
      <c r="O70" s="454" t="e">
        <f>+$D$69*$E$69%+$D$70*$E$70%</f>
        <v>#DIV/0!</v>
      </c>
      <c r="P70" s="454"/>
      <c r="Q70" s="454" t="e">
        <f>+$D$69*$E$69%+$D$70*$E$70%</f>
        <v>#DIV/0!</v>
      </c>
      <c r="R70" s="454" t="e">
        <f>+$D$69*$E$69%+$D$70*$E$70%</f>
        <v>#DIV/0!</v>
      </c>
      <c r="S70" s="454"/>
      <c r="T70" s="454" t="e">
        <f>+$D$69*$E$69%+$D$70*$E$70%</f>
        <v>#DIV/0!</v>
      </c>
      <c r="U70" s="454"/>
      <c r="V70" s="454" t="e">
        <f>+$D$69*$E$69%+$D$70*$E$70%</f>
        <v>#DIV/0!</v>
      </c>
      <c r="W70" s="454"/>
      <c r="X70" s="454" t="e">
        <f>+$D$69*$E$69%+$D$70*$E$70%</f>
        <v>#DIV/0!</v>
      </c>
      <c r="Y70" s="454"/>
      <c r="Z70" s="454" t="e">
        <f>+$D$69*$E$69%+$D$70*$E$70%</f>
        <v>#DIV/0!</v>
      </c>
      <c r="AA70" s="454"/>
      <c r="AB70" s="454" t="e">
        <f>+$D$69*$E$69%+$D$70*$E$70%</f>
        <v>#DIV/0!</v>
      </c>
      <c r="AC70" s="454"/>
      <c r="AD70" s="454" t="e">
        <f>+$D$69*$E$69%+$D$70*$E$70%</f>
        <v>#DIV/0!</v>
      </c>
      <c r="AE70" s="454"/>
      <c r="AF70" s="454" t="e">
        <f>+$D$69*$E$69%+$D$70*$E$70%</f>
        <v>#DIV/0!</v>
      </c>
      <c r="AG70" s="454"/>
      <c r="AH70" s="454" t="e">
        <f>+$D$69*$E$69%+$D$70*$E$70%</f>
        <v>#DIV/0!</v>
      </c>
      <c r="AI70" s="454"/>
      <c r="AJ70" s="454" t="e">
        <f>+$D$69*$E$69%+$D$70*$E$70%</f>
        <v>#DIV/0!</v>
      </c>
      <c r="AK70" s="454"/>
      <c r="AL70" s="454" t="e">
        <f>+$D$69*$E$69%+$D$70*$E$70%</f>
        <v>#DIV/0!</v>
      </c>
      <c r="AM70" s="454"/>
      <c r="AN70" s="454" t="e">
        <f>+$D$69*$E$69%+$D$70*$E$70%</f>
        <v>#DIV/0!</v>
      </c>
      <c r="AO70" s="454"/>
      <c r="AP70" s="454" t="e">
        <f>+$D$69*$E$69%+$D$70*$E$70%</f>
        <v>#DIV/0!</v>
      </c>
      <c r="AQ70" s="454"/>
      <c r="AR70" s="454" t="e">
        <f t="shared" ref="AR70" si="206">+$D$69*$E$69%+$D$70*$E$70%</f>
        <v>#DIV/0!</v>
      </c>
      <c r="AS70" s="454"/>
      <c r="AT70" s="454" t="e">
        <f t="shared" ref="AT70:BC70" si="207">+$D$69*$E$69%+$D$70*$E$70%</f>
        <v>#DIV/0!</v>
      </c>
      <c r="AU70" s="454"/>
      <c r="AV70" s="454" t="e">
        <f t="shared" si="207"/>
        <v>#DIV/0!</v>
      </c>
      <c r="AW70" s="454"/>
      <c r="AX70" s="454" t="e">
        <f t="shared" si="207"/>
        <v>#DIV/0!</v>
      </c>
      <c r="AY70" s="454"/>
      <c r="AZ70" s="454" t="e">
        <f t="shared" si="207"/>
        <v>#DIV/0!</v>
      </c>
      <c r="BA70" s="454"/>
      <c r="BB70" s="454" t="e">
        <f t="shared" si="207"/>
        <v>#DIV/0!</v>
      </c>
      <c r="BC70" s="454" t="e">
        <f t="shared" si="207"/>
        <v>#DIV/0!</v>
      </c>
      <c r="BD70" s="454"/>
      <c r="BE70" s="454" t="e">
        <f>+$D$69*$E$69%+$D$70*$E$70%</f>
        <v>#DIV/0!</v>
      </c>
      <c r="BF70" s="454" t="e">
        <f>+$D$69*$E$69%+$D$70*$E$70%</f>
        <v>#DIV/0!</v>
      </c>
      <c r="BG70" s="454"/>
      <c r="BH70" s="454" t="e">
        <f>+$D$69*$E$69%+$D$70*$E$70%</f>
        <v>#DIV/0!</v>
      </c>
      <c r="BI70" s="454"/>
      <c r="BJ70" s="454" t="e">
        <f>+$D$69*$E$69%+$D$70*$E$70%</f>
        <v>#DIV/0!</v>
      </c>
      <c r="BK70" s="454" t="e">
        <f>+$D$69*$E$69%+$D$70*$E$70%</f>
        <v>#DIV/0!</v>
      </c>
      <c r="BL70" s="454"/>
      <c r="BM70" s="454" t="e">
        <f>+$D$69*$E$69%+$D$70*$E$70%</f>
        <v>#DIV/0!</v>
      </c>
      <c r="BN70" s="454"/>
      <c r="BO70" s="454" t="e">
        <f>+$D$69*$E$69%+$D$70*$E$70%</f>
        <v>#DIV/0!</v>
      </c>
      <c r="BP70" s="454" t="e">
        <f>+$D$69*$E$69%+$D$70*$E$70%</f>
        <v>#DIV/0!</v>
      </c>
      <c r="BQ70" s="454"/>
      <c r="BR70" s="454" t="e">
        <f t="shared" ref="BR70:CE70" si="208">+$D$69*$E$69%+$D$70*$E$70%</f>
        <v>#DIV/0!</v>
      </c>
      <c r="BS70" s="454" t="e">
        <f t="shared" si="208"/>
        <v>#DIV/0!</v>
      </c>
      <c r="BT70" s="454" t="e">
        <f t="shared" si="208"/>
        <v>#DIV/0!</v>
      </c>
      <c r="BU70" s="454" t="e">
        <f t="shared" si="208"/>
        <v>#DIV/0!</v>
      </c>
      <c r="BV70" s="455" t="e">
        <f t="shared" si="208"/>
        <v>#DIV/0!</v>
      </c>
      <c r="BW70" s="462"/>
      <c r="BX70" s="454" t="e">
        <f t="shared" si="208"/>
        <v>#DIV/0!</v>
      </c>
      <c r="BY70" s="454" t="e">
        <f t="shared" si="208"/>
        <v>#DIV/0!</v>
      </c>
      <c r="BZ70" s="454" t="e">
        <f t="shared" si="208"/>
        <v>#DIV/0!</v>
      </c>
      <c r="CA70" s="454" t="e">
        <f t="shared" si="208"/>
        <v>#DIV/0!</v>
      </c>
      <c r="CB70" s="454" t="e">
        <f t="shared" si="208"/>
        <v>#DIV/0!</v>
      </c>
      <c r="CC70" s="454" t="e">
        <f t="shared" si="208"/>
        <v>#DIV/0!</v>
      </c>
      <c r="CD70" s="454" t="e">
        <f t="shared" si="208"/>
        <v>#DIV/0!</v>
      </c>
      <c r="CE70" s="614" t="e">
        <f t="shared" si="208"/>
        <v>#DIV/0!</v>
      </c>
      <c r="CF70" s="462"/>
      <c r="CG70" s="462"/>
      <c r="CH70" s="457" t="e">
        <f>(+$D$69*$E$69%+$D$70*$E$70%)</f>
        <v>#DIV/0!</v>
      </c>
      <c r="CI70" s="384"/>
      <c r="CJ70" s="384"/>
      <c r="CK70" s="613" t="e">
        <f>+CH70</f>
        <v>#DIV/0!</v>
      </c>
      <c r="CL70" s="454" t="e">
        <f>+CH70</f>
        <v>#DIV/0!</v>
      </c>
      <c r="CM70" s="454" t="e">
        <f>+CH70</f>
        <v>#DIV/0!</v>
      </c>
      <c r="CN70" s="454" t="e">
        <f>+CH70</f>
        <v>#DIV/0!</v>
      </c>
      <c r="CO70" s="454" t="e">
        <f>+CH70</f>
        <v>#DIV/0!</v>
      </c>
      <c r="CP70" s="454" t="e">
        <f>+CH70</f>
        <v>#DIV/0!</v>
      </c>
      <c r="CQ70" s="454" t="e">
        <f>+CH70</f>
        <v>#DIV/0!</v>
      </c>
      <c r="CR70" s="455" t="e">
        <f>+CH70</f>
        <v>#DIV/0!</v>
      </c>
      <c r="CS70" s="614" t="e">
        <f>+CH70</f>
        <v>#DIV/0!</v>
      </c>
      <c r="CT70" s="614" t="e">
        <f>+CH70</f>
        <v>#DIV/0!</v>
      </c>
      <c r="CU70" s="614" t="e">
        <f>+CH70</f>
        <v>#DIV/0!</v>
      </c>
      <c r="CV70" s="465"/>
      <c r="CW70" s="431"/>
      <c r="CX70" s="431"/>
      <c r="CY70" s="431"/>
    </row>
    <row r="71" spans="1:103" s="13" customFormat="1">
      <c r="A71" s="102"/>
      <c r="B71" s="160" t="s">
        <v>137</v>
      </c>
      <c r="C71" s="623"/>
      <c r="D71" s="707"/>
      <c r="E71" s="708">
        <f>+Zusatzinfos!C93</f>
        <v>0</v>
      </c>
      <c r="F71" s="709"/>
      <c r="G71" s="458"/>
      <c r="H71" s="458"/>
      <c r="I71" s="459"/>
      <c r="J71" s="459">
        <f>IF($E$71=0,0,$E$71/($CI$35-$F$35)*(I35+J35))</f>
        <v>0</v>
      </c>
      <c r="K71" s="459"/>
      <c r="L71" s="459"/>
      <c r="M71" s="459">
        <f>IF($E$71=0,0,$E$71/($CI$35-$F$35)*(L35+M35))</f>
        <v>0</v>
      </c>
      <c r="N71" s="459"/>
      <c r="O71" s="459">
        <f>IF($E$71=0,0,$E$71/($CI$35-$F$35)*(O35))</f>
        <v>0</v>
      </c>
      <c r="P71" s="459"/>
      <c r="Q71" s="459">
        <f>IF($E$71=0,0,$E$71/($CI$35-$F$35)*(P35+Q35))</f>
        <v>0</v>
      </c>
      <c r="R71" s="459">
        <f>IF($E$71=0,0,$E$71/($CI$35-$F$35)*(R35))</f>
        <v>0</v>
      </c>
      <c r="S71" s="459"/>
      <c r="T71" s="459">
        <f>IF($E$71=0,0,$E$71/($CI$35-$F$35)*(S35+T35))</f>
        <v>0</v>
      </c>
      <c r="U71" s="459"/>
      <c r="V71" s="459">
        <f>IF($E$71=0,0,$E$71/($CI$35-$F$35)*(U35+V35))</f>
        <v>0</v>
      </c>
      <c r="W71" s="459"/>
      <c r="X71" s="459">
        <f>IF($E$71=0,0,$E$71/($CI$35-$F$35)*(W35+X35))</f>
        <v>0</v>
      </c>
      <c r="Y71" s="459"/>
      <c r="Z71" s="459">
        <f>IF($E$71=0,0,$E$71/($CI$35-$F$35)*(Y35+Z35))</f>
        <v>0</v>
      </c>
      <c r="AA71" s="459"/>
      <c r="AB71" s="459">
        <f>IF($E$71=0,0,$E$71/($CI$35-$F$35)*(AA35+AB35))</f>
        <v>0</v>
      </c>
      <c r="AC71" s="459"/>
      <c r="AD71" s="459">
        <f>IF($E$71=0,0,$E$71/($CI$35-$F$35)*(AC35+AD35))</f>
        <v>0</v>
      </c>
      <c r="AE71" s="459"/>
      <c r="AF71" s="459">
        <f>IF($E$71=0,0,$E$71/($CI$35-$F$35)*(AE35+AF35))</f>
        <v>0</v>
      </c>
      <c r="AG71" s="459"/>
      <c r="AH71" s="459">
        <f>IF($E$71=0,0,$E$71/($CI$35-$F$35)*(AG35+AH35))</f>
        <v>0</v>
      </c>
      <c r="AI71" s="459"/>
      <c r="AJ71" s="459">
        <f>IF($E$71=0,0,$E$71/($CI$35-$F$35)*(AI35+AJ35))</f>
        <v>0</v>
      </c>
      <c r="AK71" s="459"/>
      <c r="AL71" s="459">
        <f>IF($E$71=0,0,$E$71/($CI$35-$F$35)*(AK35+AL35))</f>
        <v>0</v>
      </c>
      <c r="AM71" s="459"/>
      <c r="AN71" s="459">
        <f>IF($E$71=0,0,$E$71/($CI$35-$F$35)*(AM35+AN35))</f>
        <v>0</v>
      </c>
      <c r="AO71" s="459"/>
      <c r="AP71" s="459">
        <f>IF($E$71=0,0,$E$71/($CI$35-$F$35)*(AO35+AP35))</f>
        <v>0</v>
      </c>
      <c r="AQ71" s="459"/>
      <c r="AR71" s="459">
        <f t="shared" ref="AR71" si="209">IF($E$71=0,0,$E$71/($CI$35-$F$35)*(AQ35+AR35))</f>
        <v>0</v>
      </c>
      <c r="AS71" s="459"/>
      <c r="AT71" s="459">
        <f t="shared" ref="AT71" si="210">IF($E$71=0,0,$E$71/($CI$35-$F$35)*(AS35+AT35))</f>
        <v>0</v>
      </c>
      <c r="AU71" s="459"/>
      <c r="AV71" s="459">
        <f t="shared" ref="AV71" si="211">IF($E$71=0,0,$E$71/($CI$35-$F$35)*(AU35+AV35))</f>
        <v>0</v>
      </c>
      <c r="AW71" s="459"/>
      <c r="AX71" s="459">
        <f t="shared" ref="AX71" si="212">IF($E$71=0,0,$E$71/($CI$35-$F$35)*(AW35+AX35))</f>
        <v>0</v>
      </c>
      <c r="AY71" s="459"/>
      <c r="AZ71" s="459">
        <f t="shared" ref="AZ71" si="213">IF($E$71=0,0,$E$71/($CI$35-$F$35)*(AY35+AZ35))</f>
        <v>0</v>
      </c>
      <c r="BA71" s="459"/>
      <c r="BB71" s="459">
        <f t="shared" ref="BB71:BC71" si="214">IF($E$71=0,0,$E$71/($CI$35-$F$35)*(BA35+BB35))</f>
        <v>0</v>
      </c>
      <c r="BC71" s="459">
        <f t="shared" si="214"/>
        <v>0</v>
      </c>
      <c r="BD71" s="459"/>
      <c r="BE71" s="459">
        <f>IF($E$71=0,0,$E$71/($CI$35-$F$35)*(BD35+BE35))</f>
        <v>0</v>
      </c>
      <c r="BF71" s="459">
        <f>IF($E$71=0,0,$E$71/($CI$35-$F$35)*(BF35))</f>
        <v>0</v>
      </c>
      <c r="BG71" s="459"/>
      <c r="BH71" s="459">
        <f>IF($E$71=0,0,$E$71/($CI$35-$F$35)*(BG35+BH35))</f>
        <v>0</v>
      </c>
      <c r="BI71" s="459"/>
      <c r="BJ71" s="459">
        <f>IF($E$71=0,0,$E$71/($CI$35-$F$35)*(BI35+BJ35))</f>
        <v>0</v>
      </c>
      <c r="BK71" s="459">
        <f>IF($E$71=0,0,$E$71/($CI$35-$F$35)*(BK35))</f>
        <v>0</v>
      </c>
      <c r="BL71" s="459"/>
      <c r="BM71" s="459">
        <f>IF($E$71=0,0,$E$71/($CI$35-$F$35)*(BL35+BM35))</f>
        <v>0</v>
      </c>
      <c r="BN71" s="459"/>
      <c r="BO71" s="459">
        <f>IF($E$71=0,0,$E$71/($CI$35-$F$35)*(BN35+BO35))</f>
        <v>0</v>
      </c>
      <c r="BP71" s="459">
        <f>IF($E$71=0,0,$E$71/($CI$35-$F$35)*(BP35))</f>
        <v>0</v>
      </c>
      <c r="BQ71" s="459"/>
      <c r="BR71" s="459">
        <f>IF($E$71=0,0,$E$71/($CI$35-$F$35)*(BQ35+BR35))</f>
        <v>0</v>
      </c>
      <c r="BS71" s="459">
        <f>IF($E$71=0,0,$E$71/($CI$35-$F$35)*(BS35))</f>
        <v>0</v>
      </c>
      <c r="BT71" s="459">
        <f>IF($E$71=0,0,$E$71/($CI$35-$F$35)*(BT35))</f>
        <v>0</v>
      </c>
      <c r="BU71" s="459">
        <f>IF($E$71=0,0,$E$71/($CI$35-$F$35)*(BU35))</f>
        <v>0</v>
      </c>
      <c r="BV71" s="459">
        <f>IF($E$71=0,0,$E$71/($CI$35-$F$35)*(BV35))</f>
        <v>0</v>
      </c>
      <c r="BW71" s="731"/>
      <c r="BX71" s="459">
        <f t="shared" ref="BX71:CE71" si="215">IF($E$71=0,0,$E$71/($CI$35-$F$35)*(BX35))</f>
        <v>0</v>
      </c>
      <c r="BY71" s="459">
        <f t="shared" si="215"/>
        <v>0</v>
      </c>
      <c r="BZ71" s="459">
        <f t="shared" si="215"/>
        <v>0</v>
      </c>
      <c r="CA71" s="459">
        <f t="shared" si="215"/>
        <v>0</v>
      </c>
      <c r="CB71" s="459">
        <f t="shared" si="215"/>
        <v>0</v>
      </c>
      <c r="CC71" s="459">
        <f t="shared" si="215"/>
        <v>0</v>
      </c>
      <c r="CD71" s="459">
        <f t="shared" si="215"/>
        <v>0</v>
      </c>
      <c r="CE71" s="882">
        <f t="shared" si="215"/>
        <v>0</v>
      </c>
      <c r="CF71" s="731"/>
      <c r="CG71" s="731"/>
      <c r="CH71" s="461">
        <f>IF($E$71=0,0,$E$71/($CI$35-$F$35)*(CH35))</f>
        <v>0</v>
      </c>
      <c r="CI71" s="870">
        <f>R71+BF71+BS71+BT71+BU71+BV71+CE71+CH71-E71</f>
        <v>0</v>
      </c>
      <c r="CJ71" s="710"/>
      <c r="CK71" s="155"/>
      <c r="CL71" s="155"/>
      <c r="CM71" s="155"/>
      <c r="CN71" s="155"/>
      <c r="CO71" s="155"/>
      <c r="CP71" s="155"/>
      <c r="CQ71" s="155"/>
      <c r="CR71" s="155"/>
      <c r="CS71" s="155"/>
      <c r="CT71" s="242"/>
      <c r="CU71" s="242"/>
      <c r="CV71" s="139"/>
    </row>
    <row r="72" spans="1:103" s="13" customFormat="1">
      <c r="A72" s="102"/>
      <c r="B72" s="160" t="s">
        <v>102</v>
      </c>
      <c r="C72" s="711"/>
      <c r="D72" s="707"/>
      <c r="E72" s="708">
        <f>+Zusatzinfos!C112</f>
        <v>0</v>
      </c>
      <c r="F72" s="709"/>
      <c r="G72" s="458"/>
      <c r="H72" s="458"/>
      <c r="I72" s="459"/>
      <c r="J72" s="459">
        <f>IF($E$72=0,0,+$E$72/($CI$35-$F$35)*(I35+J35))</f>
        <v>0</v>
      </c>
      <c r="K72" s="459"/>
      <c r="L72" s="459"/>
      <c r="M72" s="459">
        <f>IF($E$72=0,0,+$E$72/($CI$35-$F$35)*(L35+M35))</f>
        <v>0</v>
      </c>
      <c r="N72" s="459"/>
      <c r="O72" s="459">
        <f>IF($E$72=0,0,+$E$72/($CI$35-$F$35)*(O35))</f>
        <v>0</v>
      </c>
      <c r="P72" s="459"/>
      <c r="Q72" s="459">
        <f>IF($E$72=0,0,+$E$72/($CI$35-$F$35)*(P35+Q35))</f>
        <v>0</v>
      </c>
      <c r="R72" s="459">
        <f>IF($E$72=0,0,+$E$72/($CI$35-$F$35)*(R35))</f>
        <v>0</v>
      </c>
      <c r="S72" s="459"/>
      <c r="T72" s="459">
        <f>IF($E$72=0,0,+$E$72/($CI$35-$F$35)*(S35+T35))</f>
        <v>0</v>
      </c>
      <c r="U72" s="459"/>
      <c r="V72" s="459">
        <f>IF($E$72=0,0,+$E$72/($CI$35-$F$35)*(U35+V35))</f>
        <v>0</v>
      </c>
      <c r="W72" s="459"/>
      <c r="X72" s="459">
        <f>IF($E$72=0,0,+$E$72/($CI$35-$F$35)*(W35+X35))</f>
        <v>0</v>
      </c>
      <c r="Y72" s="459"/>
      <c r="Z72" s="459">
        <f>IF($E$72=0,0,+$E$72/($CI$35-$F$35)*(Y35+Z35))</f>
        <v>0</v>
      </c>
      <c r="AA72" s="459"/>
      <c r="AB72" s="459">
        <f>IF($E$72=0,0,+$E$72/($CI$35-$F$35)*(AA35+AB35))</f>
        <v>0</v>
      </c>
      <c r="AC72" s="459"/>
      <c r="AD72" s="459">
        <f>IF($E$72=0,0,+$E$72/($CI$35-$F$35)*(AC35+AD35))</f>
        <v>0</v>
      </c>
      <c r="AE72" s="459"/>
      <c r="AF72" s="459">
        <f>IF($E$72=0,0,+$E$72/($CI$35-$F$35)*(AE35+AF35))</f>
        <v>0</v>
      </c>
      <c r="AG72" s="459"/>
      <c r="AH72" s="459">
        <f>IF($E$72=0,0,+$E$72/($CI$35-$F$35)*(AG35+AH35))</f>
        <v>0</v>
      </c>
      <c r="AI72" s="459"/>
      <c r="AJ72" s="459">
        <f>IF($E$72=0,0,+$E$72/($CI$35-$F$35)*(AI35+AJ35))</f>
        <v>0</v>
      </c>
      <c r="AK72" s="459"/>
      <c r="AL72" s="459">
        <f>IF($E$72=0,0,+$E$72/($CI$35-$F$35)*(AK35+AL35))</f>
        <v>0</v>
      </c>
      <c r="AM72" s="459"/>
      <c r="AN72" s="459">
        <f>IF($E$72=0,0,+$E$72/($CI$35-$F$35)*(AM35+AN35))</f>
        <v>0</v>
      </c>
      <c r="AO72" s="459"/>
      <c r="AP72" s="459">
        <f>IF($E$72=0,0,+$E$72/($CI$35-$F$35)*(AO35+AP35))</f>
        <v>0</v>
      </c>
      <c r="AQ72" s="459"/>
      <c r="AR72" s="459">
        <f t="shared" ref="AR72" si="216">IF($E$72=0,0,+$E$72/($CI$35-$F$35)*(AQ35+AR35))</f>
        <v>0</v>
      </c>
      <c r="AS72" s="459"/>
      <c r="AT72" s="459">
        <f t="shared" ref="AT72" si="217">IF($E$72=0,0,+$E$72/($CI$35-$F$35)*(AS35+AT35))</f>
        <v>0</v>
      </c>
      <c r="AU72" s="459"/>
      <c r="AV72" s="459">
        <f t="shared" ref="AV72" si="218">IF($E$72=0,0,+$E$72/($CI$35-$F$35)*(AU35+AV35))</f>
        <v>0</v>
      </c>
      <c r="AW72" s="459"/>
      <c r="AX72" s="459">
        <f t="shared" ref="AX72" si="219">IF($E$72=0,0,+$E$72/($CI$35-$F$35)*(AW35+AX35))</f>
        <v>0</v>
      </c>
      <c r="AY72" s="459"/>
      <c r="AZ72" s="459">
        <f t="shared" ref="AZ72" si="220">IF($E$72=0,0,+$E$72/($CI$35-$F$35)*(AY35+AZ35))</f>
        <v>0</v>
      </c>
      <c r="BA72" s="459"/>
      <c r="BB72" s="459">
        <f t="shared" ref="BB72:BC72" si="221">IF($E$72=0,0,+$E$72/($CI$35-$F$35)*(BA35+BB35))</f>
        <v>0</v>
      </c>
      <c r="BC72" s="459">
        <f t="shared" si="221"/>
        <v>0</v>
      </c>
      <c r="BD72" s="459"/>
      <c r="BE72" s="459">
        <f>IF($E$72=0,0,+$E$72/($CI$35-$F$35)*(BD35+BE35))</f>
        <v>0</v>
      </c>
      <c r="BF72" s="459">
        <f>IF($E$72=0,0,+$E$72/($CI$35-$F$35)*(BF35))</f>
        <v>0</v>
      </c>
      <c r="BG72" s="459"/>
      <c r="BH72" s="459">
        <f>IF($E$72=0,0,+$E$72/($CI$35-$F$35)*(BG35+BH35))</f>
        <v>0</v>
      </c>
      <c r="BI72" s="459"/>
      <c r="BJ72" s="459">
        <f>IF($E$72=0,0,+$E$72/($CI$35-$F$35)*(BI35+BJ35))</f>
        <v>0</v>
      </c>
      <c r="BK72" s="459">
        <f>IF($E$72=0,0,+$E$72/($CI$35-$F$35)*(BK35))</f>
        <v>0</v>
      </c>
      <c r="BL72" s="459"/>
      <c r="BM72" s="459">
        <f>IF($E$72=0,0,+$E$72/($CI$35-$F$35)*(BL35+BM35))</f>
        <v>0</v>
      </c>
      <c r="BN72" s="459"/>
      <c r="BO72" s="459">
        <f>IF($E$72=0,0,+$E$72/($CI$35-$F$35)*(BN35+BO35))</f>
        <v>0</v>
      </c>
      <c r="BP72" s="459">
        <f>IF($E$72=0,0,+$E$72/($CI$35-$F$35)*(BP35))</f>
        <v>0</v>
      </c>
      <c r="BQ72" s="459"/>
      <c r="BR72" s="459">
        <f>IF($E$72=0,0,+$E$72/($CI$35-$F$35)*(BQ35+BR35))</f>
        <v>0</v>
      </c>
      <c r="BS72" s="459">
        <f>IF($E$72=0,0,+$E$72/($CI$35-$F$35)*(BS35))</f>
        <v>0</v>
      </c>
      <c r="BT72" s="459">
        <f>IF($E$72=0,0,+$E$72/($CI$35-$F$35)*(BT35))</f>
        <v>0</v>
      </c>
      <c r="BU72" s="459">
        <f>IF($E$72=0,0,+$E$72/($CI$35-$F$35)*(BU35))</f>
        <v>0</v>
      </c>
      <c r="BV72" s="459">
        <f>IF($E$72=0,0,+$E$72/($CI$35-$F$35)*(BV35))</f>
        <v>0</v>
      </c>
      <c r="BW72" s="731"/>
      <c r="BX72" s="459">
        <f t="shared" ref="BX72:CE72" si="222">IF($E$72=0,0,+$E$72/($CI$35-$F$35)*(BX35))</f>
        <v>0</v>
      </c>
      <c r="BY72" s="459">
        <f t="shared" si="222"/>
        <v>0</v>
      </c>
      <c r="BZ72" s="459">
        <f t="shared" si="222"/>
        <v>0</v>
      </c>
      <c r="CA72" s="459">
        <f t="shared" si="222"/>
        <v>0</v>
      </c>
      <c r="CB72" s="459">
        <f t="shared" si="222"/>
        <v>0</v>
      </c>
      <c r="CC72" s="459">
        <f t="shared" si="222"/>
        <v>0</v>
      </c>
      <c r="CD72" s="459">
        <f t="shared" si="222"/>
        <v>0</v>
      </c>
      <c r="CE72" s="882">
        <f t="shared" si="222"/>
        <v>0</v>
      </c>
      <c r="CF72" s="731"/>
      <c r="CG72" s="731"/>
      <c r="CH72" s="461">
        <f>IF($E$72=0,0,+$E$72/($CI$35-$F$35)*(CH35))</f>
        <v>0</v>
      </c>
      <c r="CI72" s="870">
        <f>R72+BF72+BS72+BT72+BU72+BV72+CE72+CH72-E72</f>
        <v>0</v>
      </c>
      <c r="CJ72" s="710"/>
      <c r="CK72" s="155"/>
      <c r="CL72" s="155"/>
      <c r="CM72" s="155"/>
      <c r="CN72" s="155"/>
      <c r="CO72" s="155"/>
      <c r="CP72" s="155"/>
      <c r="CQ72" s="155"/>
      <c r="CR72" s="155"/>
      <c r="CS72" s="155"/>
      <c r="CT72" s="242"/>
      <c r="CU72" s="242"/>
      <c r="CV72" s="139"/>
    </row>
    <row r="73" spans="1:103">
      <c r="A73" s="147"/>
      <c r="B73" s="160" t="s">
        <v>164</v>
      </c>
      <c r="C73" s="253"/>
      <c r="D73" s="634"/>
      <c r="E73" s="834">
        <v>0.12</v>
      </c>
      <c r="F73" s="384"/>
      <c r="G73" s="384"/>
      <c r="H73" s="384"/>
      <c r="I73" s="462"/>
      <c r="J73" s="462"/>
      <c r="K73" s="462"/>
      <c r="L73" s="462"/>
      <c r="M73" s="462"/>
      <c r="N73" s="462"/>
      <c r="O73" s="462"/>
      <c r="P73" s="462"/>
      <c r="Q73" s="462"/>
      <c r="R73" s="462"/>
      <c r="S73" s="462"/>
      <c r="T73" s="462"/>
      <c r="U73" s="462"/>
      <c r="V73" s="462"/>
      <c r="W73" s="462"/>
      <c r="X73" s="462"/>
      <c r="Y73" s="462"/>
      <c r="Z73" s="462"/>
      <c r="AA73" s="462"/>
      <c r="AB73" s="462"/>
      <c r="AC73" s="462"/>
      <c r="AD73" s="462"/>
      <c r="AE73" s="462"/>
      <c r="AF73" s="462"/>
      <c r="AG73" s="462"/>
      <c r="AH73" s="462"/>
      <c r="AI73" s="462"/>
      <c r="AJ73" s="462"/>
      <c r="AK73" s="462"/>
      <c r="AL73" s="462"/>
      <c r="AM73" s="462"/>
      <c r="AN73" s="462"/>
      <c r="AO73" s="462"/>
      <c r="AP73" s="462"/>
      <c r="AQ73" s="462"/>
      <c r="AR73" s="462"/>
      <c r="AS73" s="462"/>
      <c r="AT73" s="462"/>
      <c r="AU73" s="462"/>
      <c r="AV73" s="462"/>
      <c r="AW73" s="462"/>
      <c r="AX73" s="462"/>
      <c r="AY73" s="462"/>
      <c r="AZ73" s="462"/>
      <c r="BA73" s="462"/>
      <c r="BB73" s="462"/>
      <c r="BC73" s="462"/>
      <c r="BD73" s="462"/>
      <c r="BE73" s="462"/>
      <c r="BF73" s="462"/>
      <c r="BG73" s="462"/>
      <c r="BH73" s="462"/>
      <c r="BI73" s="462"/>
      <c r="BJ73" s="462"/>
      <c r="BK73" s="462"/>
      <c r="BL73" s="462"/>
      <c r="BM73" s="462"/>
      <c r="BN73" s="462"/>
      <c r="BO73" s="462"/>
      <c r="BP73" s="462"/>
      <c r="BQ73" s="462"/>
      <c r="BR73" s="462"/>
      <c r="BS73" s="462"/>
      <c r="BT73" s="462"/>
      <c r="BU73" s="462"/>
      <c r="BV73" s="462"/>
      <c r="BW73" s="462"/>
      <c r="BX73" s="462"/>
      <c r="BY73" s="462"/>
      <c r="BZ73" s="462"/>
      <c r="CA73" s="462"/>
      <c r="CB73" s="462"/>
      <c r="CC73" s="462"/>
      <c r="CD73" s="462"/>
      <c r="CE73" s="462"/>
      <c r="CF73" s="462"/>
      <c r="CG73" s="462"/>
      <c r="CH73" s="462"/>
      <c r="CI73" s="384"/>
      <c r="CJ73" s="384"/>
      <c r="CK73" s="155"/>
      <c r="CL73" s="155"/>
      <c r="CM73" s="155"/>
      <c r="CN73" s="155"/>
      <c r="CO73" s="155"/>
      <c r="CP73" s="155"/>
      <c r="CQ73" s="155"/>
      <c r="CR73" s="155"/>
      <c r="CS73" s="155"/>
      <c r="CT73" s="242"/>
      <c r="CU73" s="242"/>
      <c r="CV73" s="139"/>
    </row>
    <row r="74" spans="1:103">
      <c r="A74" s="147"/>
      <c r="B74" s="635"/>
      <c r="C74" s="147"/>
      <c r="D74" s="147"/>
      <c r="E74" s="147"/>
      <c r="F74" s="431"/>
      <c r="G74" s="431"/>
      <c r="H74" s="431"/>
      <c r="I74" s="463"/>
      <c r="J74" s="432"/>
      <c r="K74" s="432"/>
      <c r="L74" s="433"/>
      <c r="M74" s="433"/>
      <c r="N74" s="433"/>
      <c r="O74" s="433"/>
      <c r="P74" s="463"/>
      <c r="Q74" s="432"/>
      <c r="R74" s="433"/>
      <c r="S74" s="463"/>
      <c r="T74" s="432"/>
      <c r="U74" s="433"/>
      <c r="V74" s="433"/>
      <c r="W74" s="463"/>
      <c r="X74" s="432"/>
      <c r="Y74" s="433"/>
      <c r="Z74" s="433"/>
      <c r="AA74" s="463"/>
      <c r="AB74" s="432"/>
      <c r="AC74" s="433"/>
      <c r="AD74" s="433"/>
      <c r="AE74" s="463"/>
      <c r="AF74" s="432"/>
      <c r="AG74" s="433"/>
      <c r="AH74" s="433"/>
      <c r="AI74" s="463"/>
      <c r="AJ74" s="432"/>
      <c r="AK74" s="433"/>
      <c r="AL74" s="433"/>
      <c r="AM74" s="463"/>
      <c r="AN74" s="432"/>
      <c r="AO74" s="433"/>
      <c r="AP74" s="433"/>
      <c r="AQ74" s="433"/>
      <c r="AR74" s="433"/>
      <c r="AS74" s="433"/>
      <c r="AT74" s="433"/>
      <c r="AU74" s="433"/>
      <c r="AV74" s="433"/>
      <c r="AW74" s="433"/>
      <c r="AX74" s="433"/>
      <c r="AY74" s="433"/>
      <c r="AZ74" s="433"/>
      <c r="BA74" s="433"/>
      <c r="BB74" s="433"/>
      <c r="BC74" s="433"/>
      <c r="BD74" s="463"/>
      <c r="BE74" s="432"/>
      <c r="BF74" s="432"/>
      <c r="BG74" s="463"/>
      <c r="BH74" s="432"/>
      <c r="BI74" s="433"/>
      <c r="BJ74" s="433"/>
      <c r="BK74" s="433"/>
      <c r="BL74" s="463"/>
      <c r="BM74" s="432"/>
      <c r="BN74" s="433"/>
      <c r="BO74" s="433"/>
      <c r="BP74" s="433"/>
      <c r="BQ74" s="433"/>
      <c r="BR74" s="433"/>
      <c r="BS74" s="432"/>
      <c r="BT74" s="432"/>
      <c r="BU74" s="432"/>
      <c r="BV74" s="432"/>
      <c r="BW74" s="434"/>
      <c r="BX74" s="433"/>
      <c r="BY74" s="433"/>
      <c r="BZ74" s="433"/>
      <c r="CA74" s="433"/>
      <c r="CB74" s="433"/>
      <c r="CC74" s="433"/>
      <c r="CD74" s="433"/>
      <c r="CE74" s="433"/>
      <c r="CF74" s="434"/>
      <c r="CG74" s="432"/>
      <c r="CH74" s="432"/>
      <c r="CI74" s="432"/>
      <c r="CJ74" s="581"/>
      <c r="CK74" s="92"/>
      <c r="CL74" s="92"/>
      <c r="CM74" s="92"/>
      <c r="CN74" s="92"/>
      <c r="CO74" s="92"/>
      <c r="CP74" s="92"/>
      <c r="CQ74" s="92"/>
      <c r="CR74" s="92"/>
      <c r="CS74" s="92"/>
      <c r="CT74" s="244"/>
      <c r="CU74" s="244"/>
      <c r="CV74" s="139"/>
    </row>
    <row r="75" spans="1:103" s="147" customFormat="1">
      <c r="B75" s="208"/>
      <c r="F75" s="431"/>
      <c r="G75" s="431"/>
      <c r="H75" s="431"/>
      <c r="I75" s="432"/>
      <c r="J75" s="432"/>
      <c r="K75" s="432"/>
      <c r="L75" s="432"/>
      <c r="M75" s="432"/>
      <c r="N75" s="432"/>
      <c r="O75" s="432"/>
      <c r="P75" s="432"/>
      <c r="Q75" s="432"/>
      <c r="R75" s="432"/>
      <c r="S75" s="432"/>
      <c r="T75" s="432"/>
      <c r="U75" s="432"/>
      <c r="V75" s="432"/>
      <c r="W75" s="432"/>
      <c r="X75" s="432"/>
      <c r="Y75" s="432"/>
      <c r="Z75" s="432"/>
      <c r="AA75" s="432"/>
      <c r="AB75" s="432"/>
      <c r="AC75" s="432"/>
      <c r="AD75" s="432"/>
      <c r="AE75" s="432"/>
      <c r="AF75" s="432"/>
      <c r="AG75" s="432"/>
      <c r="AH75" s="432"/>
      <c r="AI75" s="432"/>
      <c r="AJ75" s="432"/>
      <c r="AK75" s="432"/>
      <c r="AL75" s="432"/>
      <c r="AM75" s="432"/>
      <c r="AN75" s="432"/>
      <c r="AO75" s="432"/>
      <c r="AP75" s="432"/>
      <c r="AQ75" s="432"/>
      <c r="AR75" s="432"/>
      <c r="AS75" s="432"/>
      <c r="AT75" s="432"/>
      <c r="AU75" s="432"/>
      <c r="AV75" s="432"/>
      <c r="AW75" s="432"/>
      <c r="AX75" s="432"/>
      <c r="AY75" s="432"/>
      <c r="AZ75" s="432"/>
      <c r="BA75" s="432"/>
      <c r="BB75" s="432"/>
      <c r="BC75" s="432"/>
      <c r="BD75" s="432"/>
      <c r="BE75" s="432"/>
      <c r="BF75" s="432"/>
      <c r="BG75" s="432"/>
      <c r="BH75" s="432"/>
      <c r="BI75" s="432"/>
      <c r="BJ75" s="432"/>
      <c r="BK75" s="432"/>
      <c r="BL75" s="432"/>
      <c r="BM75" s="432"/>
      <c r="BN75" s="432"/>
      <c r="BO75" s="432"/>
      <c r="BP75" s="432"/>
      <c r="BQ75" s="432"/>
      <c r="BR75" s="432"/>
      <c r="BS75" s="432"/>
      <c r="BT75" s="432"/>
      <c r="BU75" s="432"/>
      <c r="BV75" s="432"/>
      <c r="BW75" s="434"/>
      <c r="BX75" s="432"/>
      <c r="BY75" s="432"/>
      <c r="BZ75" s="432"/>
      <c r="CA75" s="432"/>
      <c r="CB75" s="432"/>
      <c r="CC75" s="432"/>
      <c r="CD75" s="432"/>
      <c r="CE75" s="432"/>
      <c r="CF75" s="434"/>
      <c r="CG75" s="432"/>
      <c r="CH75" s="432"/>
      <c r="CI75" s="432"/>
      <c r="CJ75" s="432"/>
      <c r="CK75" s="148"/>
      <c r="CL75" s="148"/>
      <c r="CM75" s="148"/>
      <c r="CN75" s="148"/>
      <c r="CO75" s="148"/>
      <c r="CP75" s="148"/>
      <c r="CQ75" s="148"/>
      <c r="CR75" s="148"/>
      <c r="CS75" s="148"/>
      <c r="CT75" s="245"/>
      <c r="CU75" s="245"/>
    </row>
    <row r="76" spans="1:103">
      <c r="A76" s="147"/>
      <c r="B76" s="1" t="s">
        <v>88</v>
      </c>
      <c r="C76" s="147"/>
      <c r="D76" s="147"/>
      <c r="E76" s="147"/>
      <c r="F76" s="431"/>
      <c r="G76" s="431"/>
      <c r="H76" s="431"/>
      <c r="I76" s="432"/>
      <c r="J76" s="432"/>
      <c r="K76" s="432"/>
      <c r="L76" s="432"/>
      <c r="M76" s="432"/>
      <c r="N76" s="432"/>
      <c r="O76" s="432"/>
      <c r="P76" s="432"/>
      <c r="Q76" s="432"/>
      <c r="R76" s="432"/>
      <c r="S76" s="432"/>
      <c r="T76" s="432"/>
      <c r="U76" s="432"/>
      <c r="V76" s="432"/>
      <c r="W76" s="432"/>
      <c r="X76" s="432"/>
      <c r="Y76" s="432"/>
      <c r="Z76" s="432"/>
      <c r="AA76" s="432"/>
      <c r="AB76" s="432"/>
      <c r="AC76" s="432"/>
      <c r="AD76" s="432"/>
      <c r="AE76" s="432"/>
      <c r="AF76" s="432"/>
      <c r="AG76" s="432"/>
      <c r="AH76" s="432"/>
      <c r="AI76" s="432"/>
      <c r="AJ76" s="432"/>
      <c r="AK76" s="432"/>
      <c r="AL76" s="432"/>
      <c r="AM76" s="432"/>
      <c r="AN76" s="432"/>
      <c r="AO76" s="432"/>
      <c r="AP76" s="432"/>
      <c r="AQ76" s="432"/>
      <c r="AR76" s="432"/>
      <c r="AS76" s="432"/>
      <c r="AT76" s="432"/>
      <c r="AU76" s="432"/>
      <c r="AV76" s="432"/>
      <c r="AW76" s="432"/>
      <c r="AX76" s="432"/>
      <c r="AY76" s="432"/>
      <c r="AZ76" s="432"/>
      <c r="BA76" s="432"/>
      <c r="BB76" s="432"/>
      <c r="BC76" s="432"/>
      <c r="BD76" s="432"/>
      <c r="BE76" s="432"/>
      <c r="BF76" s="432"/>
      <c r="BG76" s="432"/>
      <c r="BH76" s="432"/>
      <c r="BI76" s="432"/>
      <c r="BJ76" s="432"/>
      <c r="BK76" s="432"/>
      <c r="BL76" s="432"/>
      <c r="BM76" s="432"/>
      <c r="BN76" s="432"/>
      <c r="BO76" s="432"/>
      <c r="BP76" s="432"/>
      <c r="BQ76" s="432"/>
      <c r="BR76" s="432"/>
      <c r="BS76" s="432"/>
      <c r="BT76" s="432"/>
      <c r="BU76" s="432"/>
      <c r="BV76" s="432"/>
      <c r="BW76" s="434"/>
      <c r="BX76" s="432"/>
      <c r="BY76" s="432"/>
      <c r="BZ76" s="432"/>
      <c r="CA76" s="432"/>
      <c r="CB76" s="432"/>
      <c r="CC76" s="432"/>
      <c r="CD76" s="432"/>
      <c r="CE76" s="432"/>
      <c r="CF76" s="434"/>
      <c r="CG76" s="432"/>
      <c r="CH76" s="432"/>
      <c r="CI76" s="432"/>
      <c r="CJ76" s="432"/>
      <c r="CT76" s="245"/>
      <c r="CU76" s="245"/>
    </row>
    <row r="77" spans="1:103" s="307" customFormat="1" ht="27.75" customHeight="1">
      <c r="A77" s="636"/>
      <c r="B77" s="637"/>
      <c r="C77" s="638" t="s">
        <v>1439</v>
      </c>
      <c r="D77" s="638" t="s">
        <v>359</v>
      </c>
      <c r="E77" s="638" t="s">
        <v>463</v>
      </c>
      <c r="F77" s="638" t="s">
        <v>356</v>
      </c>
      <c r="G77" s="638" t="s">
        <v>357</v>
      </c>
      <c r="H77" s="638" t="s">
        <v>358</v>
      </c>
      <c r="I77" s="586"/>
      <c r="J77" s="586"/>
      <c r="K77" s="586"/>
      <c r="L77" s="586"/>
      <c r="M77" s="586"/>
      <c r="N77" s="586"/>
      <c r="O77" s="586"/>
      <c r="P77" s="586"/>
      <c r="Q77" s="586"/>
      <c r="R77" s="586"/>
      <c r="S77" s="586"/>
      <c r="T77" s="586"/>
      <c r="U77" s="586"/>
      <c r="V77" s="586"/>
      <c r="W77" s="586"/>
      <c r="X77" s="586"/>
      <c r="Y77" s="586"/>
      <c r="Z77" s="586"/>
      <c r="AA77" s="586"/>
      <c r="AB77" s="586"/>
      <c r="AC77" s="586"/>
      <c r="AD77" s="586"/>
      <c r="AE77" s="586"/>
      <c r="AF77" s="586"/>
      <c r="AG77" s="586"/>
      <c r="AH77" s="586"/>
      <c r="AI77" s="586"/>
      <c r="AJ77" s="586"/>
      <c r="AK77" s="586"/>
      <c r="AL77" s="586"/>
      <c r="AM77" s="586"/>
      <c r="AN77" s="586"/>
      <c r="AO77" s="586"/>
      <c r="AP77" s="586"/>
      <c r="AQ77" s="586"/>
      <c r="AR77" s="586"/>
      <c r="AS77" s="586"/>
      <c r="AT77" s="586"/>
      <c r="AU77" s="586"/>
      <c r="AV77" s="586"/>
      <c r="AW77" s="586"/>
      <c r="AX77" s="586"/>
      <c r="AY77" s="586"/>
      <c r="AZ77" s="586"/>
      <c r="BA77" s="586"/>
      <c r="BB77" s="586"/>
      <c r="BC77" s="586"/>
      <c r="BD77" s="586"/>
      <c r="BE77" s="586"/>
      <c r="BF77" s="586"/>
      <c r="BG77" s="586"/>
      <c r="BH77" s="586"/>
      <c r="BI77" s="586"/>
      <c r="BJ77" s="586"/>
      <c r="BK77" s="586"/>
      <c r="BL77" s="586"/>
      <c r="BM77" s="586"/>
      <c r="BN77" s="586"/>
      <c r="BO77" s="586"/>
      <c r="BP77" s="586"/>
      <c r="BQ77" s="586"/>
      <c r="BR77" s="586"/>
      <c r="BS77" s="586"/>
      <c r="BT77" s="586"/>
      <c r="BU77" s="586"/>
      <c r="BV77" s="586"/>
      <c r="BW77" s="787"/>
      <c r="BX77" s="586"/>
      <c r="BY77" s="586"/>
      <c r="BZ77" s="586"/>
      <c r="CA77" s="586"/>
      <c r="CB77" s="586"/>
      <c r="CC77" s="586"/>
      <c r="CD77" s="586"/>
      <c r="CE77" s="586"/>
      <c r="CF77" s="787"/>
      <c r="CG77" s="586"/>
      <c r="CH77" s="586"/>
      <c r="CI77" s="586"/>
      <c r="CS77" s="308"/>
      <c r="CT77" s="308"/>
    </row>
    <row r="78" spans="1:103">
      <c r="A78" s="147"/>
      <c r="B78" s="712" t="s">
        <v>4</v>
      </c>
      <c r="C78" s="1065"/>
      <c r="D78" s="960">
        <f>'KTR-Ausweis Gesamtansicht'!CK21</f>
        <v>0</v>
      </c>
      <c r="E78" s="953">
        <f t="shared" ref="E78:E85" si="223">IF(C78=0,0,D78/C78)</f>
        <v>0</v>
      </c>
      <c r="F78" s="1066"/>
      <c r="G78" s="960">
        <f t="shared" ref="G78:G85" si="224">C78-F78</f>
        <v>0</v>
      </c>
      <c r="H78" s="956">
        <f>IF(F78=0,0,G78/F78)</f>
        <v>0</v>
      </c>
      <c r="I78" s="432"/>
      <c r="J78" s="432"/>
      <c r="K78" s="432"/>
      <c r="L78" s="432"/>
      <c r="M78" s="432"/>
      <c r="N78" s="432"/>
      <c r="O78" s="432"/>
      <c r="P78" s="432"/>
      <c r="Q78" s="432"/>
      <c r="R78" s="432"/>
      <c r="S78" s="432"/>
      <c r="T78" s="432"/>
      <c r="U78" s="432"/>
      <c r="V78" s="432"/>
      <c r="W78" s="432"/>
      <c r="X78" s="432"/>
      <c r="Y78" s="432"/>
      <c r="Z78" s="432"/>
      <c r="AA78" s="432"/>
      <c r="AB78" s="432"/>
      <c r="AC78" s="432"/>
      <c r="AD78" s="432"/>
      <c r="AE78" s="432"/>
      <c r="AF78" s="432"/>
      <c r="AG78" s="432"/>
      <c r="AH78" s="432"/>
      <c r="AI78" s="432"/>
      <c r="AJ78" s="432"/>
      <c r="AK78" s="432"/>
      <c r="AL78" s="432"/>
      <c r="AM78" s="432"/>
      <c r="AN78" s="432"/>
      <c r="AO78" s="432"/>
      <c r="AP78" s="432"/>
      <c r="AQ78" s="432"/>
      <c r="AR78" s="432"/>
      <c r="AS78" s="432"/>
      <c r="AT78" s="432"/>
      <c r="AU78" s="432"/>
      <c r="AV78" s="432"/>
      <c r="AW78" s="432"/>
      <c r="AX78" s="432"/>
      <c r="AY78" s="432"/>
      <c r="AZ78" s="432"/>
      <c r="BA78" s="432"/>
      <c r="BB78" s="432"/>
      <c r="BC78" s="432"/>
      <c r="BD78" s="432"/>
      <c r="BE78" s="432"/>
      <c r="BF78" s="432"/>
      <c r="BG78" s="432"/>
      <c r="BH78" s="432"/>
      <c r="BI78" s="432"/>
      <c r="BJ78" s="432"/>
      <c r="BK78" s="432"/>
      <c r="BL78" s="432"/>
      <c r="BM78" s="432"/>
      <c r="BN78" s="432"/>
      <c r="BO78" s="432"/>
      <c r="BP78" s="432"/>
      <c r="BQ78" s="432"/>
      <c r="BR78" s="432"/>
      <c r="BS78" s="432"/>
      <c r="BT78" s="432"/>
      <c r="BU78" s="432"/>
      <c r="BV78" s="432"/>
      <c r="BW78" s="434"/>
      <c r="BX78" s="432"/>
      <c r="BY78" s="432"/>
      <c r="BZ78" s="432"/>
      <c r="CA78" s="432"/>
      <c r="CB78" s="432"/>
      <c r="CC78" s="432"/>
      <c r="CD78" s="432"/>
      <c r="CE78" s="432"/>
      <c r="CF78" s="434"/>
      <c r="CG78" s="432"/>
      <c r="CH78" s="432"/>
      <c r="CI78" s="432"/>
      <c r="CS78" s="245"/>
      <c r="CT78" s="245"/>
      <c r="CU78" s="10"/>
    </row>
    <row r="79" spans="1:103">
      <c r="A79" s="147"/>
      <c r="B79" s="17" t="s">
        <v>5</v>
      </c>
      <c r="C79" s="1065"/>
      <c r="D79" s="960">
        <f>'KTR-Ausweis Gesamtansicht'!CL21</f>
        <v>0</v>
      </c>
      <c r="E79" s="954">
        <f t="shared" si="223"/>
        <v>0</v>
      </c>
      <c r="F79" s="1066"/>
      <c r="G79" s="960">
        <f t="shared" si="224"/>
        <v>0</v>
      </c>
      <c r="H79" s="955">
        <f t="shared" ref="H79:H85" si="225">IF(F79=0,0,G79/F79)</f>
        <v>0</v>
      </c>
      <c r="I79" s="432"/>
      <c r="J79" s="432"/>
      <c r="K79" s="432"/>
      <c r="L79" s="432"/>
      <c r="M79" s="432"/>
      <c r="N79" s="432"/>
      <c r="O79" s="432"/>
      <c r="P79" s="432"/>
      <c r="Q79" s="432"/>
      <c r="R79" s="432"/>
      <c r="S79" s="432"/>
      <c r="T79" s="432"/>
      <c r="U79" s="432"/>
      <c r="V79" s="432"/>
      <c r="W79" s="432"/>
      <c r="X79" s="432"/>
      <c r="Y79" s="432"/>
      <c r="Z79" s="432"/>
      <c r="AA79" s="432"/>
      <c r="AB79" s="432"/>
      <c r="AC79" s="432"/>
      <c r="AD79" s="432"/>
      <c r="AE79" s="432"/>
      <c r="AF79" s="432"/>
      <c r="AG79" s="432"/>
      <c r="AH79" s="432"/>
      <c r="AI79" s="432"/>
      <c r="AJ79" s="432"/>
      <c r="AK79" s="432"/>
      <c r="AL79" s="432"/>
      <c r="AM79" s="432"/>
      <c r="AN79" s="432"/>
      <c r="AO79" s="432"/>
      <c r="AP79" s="432"/>
      <c r="AQ79" s="432"/>
      <c r="AR79" s="432"/>
      <c r="AS79" s="432"/>
      <c r="AT79" s="432"/>
      <c r="AU79" s="432"/>
      <c r="AV79" s="432"/>
      <c r="AW79" s="432"/>
      <c r="AX79" s="432"/>
      <c r="AY79" s="432"/>
      <c r="AZ79" s="432"/>
      <c r="BA79" s="432"/>
      <c r="BB79" s="432"/>
      <c r="BC79" s="432"/>
      <c r="BD79" s="432"/>
      <c r="BE79" s="432"/>
      <c r="BF79" s="432"/>
      <c r="BG79" s="432"/>
      <c r="BH79" s="432"/>
      <c r="BI79" s="432"/>
      <c r="BJ79" s="432"/>
      <c r="BK79" s="432"/>
      <c r="BL79" s="432"/>
      <c r="BM79" s="432"/>
      <c r="BN79" s="432"/>
      <c r="BO79" s="432"/>
      <c r="BP79" s="432"/>
      <c r="BQ79" s="432"/>
      <c r="BR79" s="432"/>
      <c r="BS79" s="432"/>
      <c r="BT79" s="432"/>
      <c r="BU79" s="432"/>
      <c r="BV79" s="432"/>
      <c r="BW79" s="434"/>
      <c r="BX79" s="432"/>
      <c r="BY79" s="432"/>
      <c r="BZ79" s="432"/>
      <c r="CA79" s="432"/>
      <c r="CB79" s="432"/>
      <c r="CC79" s="432"/>
      <c r="CD79" s="432"/>
      <c r="CE79" s="432"/>
      <c r="CF79" s="434"/>
      <c r="CG79" s="432"/>
      <c r="CH79" s="432"/>
      <c r="CI79" s="432"/>
      <c r="CS79" s="245"/>
      <c r="CT79" s="245"/>
      <c r="CU79" s="10"/>
    </row>
    <row r="80" spans="1:103">
      <c r="A80" s="147"/>
      <c r="B80" s="18" t="s">
        <v>7</v>
      </c>
      <c r="C80" s="1065"/>
      <c r="D80" s="960">
        <f>'KTR-Ausweis Gesamtansicht'!CM21</f>
        <v>0</v>
      </c>
      <c r="E80" s="954">
        <f t="shared" si="223"/>
        <v>0</v>
      </c>
      <c r="F80" s="1066"/>
      <c r="G80" s="960">
        <f t="shared" si="224"/>
        <v>0</v>
      </c>
      <c r="H80" s="955">
        <f t="shared" si="225"/>
        <v>0</v>
      </c>
      <c r="I80" s="432"/>
      <c r="J80" s="432"/>
      <c r="K80" s="432"/>
      <c r="L80" s="432"/>
      <c r="M80" s="432"/>
      <c r="N80" s="432"/>
      <c r="O80" s="432"/>
      <c r="P80" s="432"/>
      <c r="Q80" s="432"/>
      <c r="R80" s="432"/>
      <c r="S80" s="432"/>
      <c r="T80" s="432"/>
      <c r="U80" s="432"/>
      <c r="V80" s="432"/>
      <c r="W80" s="432"/>
      <c r="X80" s="432"/>
      <c r="Y80" s="432"/>
      <c r="Z80" s="432"/>
      <c r="AA80" s="432"/>
      <c r="AB80" s="432"/>
      <c r="AC80" s="432"/>
      <c r="AD80" s="432"/>
      <c r="AE80" s="432"/>
      <c r="AF80" s="432"/>
      <c r="AG80" s="432"/>
      <c r="AH80" s="432"/>
      <c r="AI80" s="432"/>
      <c r="AJ80" s="432"/>
      <c r="AK80" s="432"/>
      <c r="AL80" s="432"/>
      <c r="AM80" s="432"/>
      <c r="AN80" s="432"/>
      <c r="AO80" s="432"/>
      <c r="AP80" s="432"/>
      <c r="AQ80" s="432"/>
      <c r="AR80" s="432"/>
      <c r="AS80" s="432"/>
      <c r="AT80" s="432"/>
      <c r="AU80" s="432"/>
      <c r="AV80" s="432"/>
      <c r="AW80" s="432"/>
      <c r="AX80" s="432"/>
      <c r="AY80" s="432"/>
      <c r="AZ80" s="432"/>
      <c r="BA80" s="432"/>
      <c r="BB80" s="432"/>
      <c r="BC80" s="432"/>
      <c r="BD80" s="432"/>
      <c r="BE80" s="432"/>
      <c r="BF80" s="432"/>
      <c r="BG80" s="432"/>
      <c r="BH80" s="432"/>
      <c r="BI80" s="432"/>
      <c r="BJ80" s="432"/>
      <c r="BK80" s="432"/>
      <c r="BL80" s="432"/>
      <c r="BM80" s="432"/>
      <c r="BN80" s="432"/>
      <c r="BO80" s="432"/>
      <c r="BP80" s="432"/>
      <c r="BQ80" s="432"/>
      <c r="BR80" s="432"/>
      <c r="BS80" s="432"/>
      <c r="BT80" s="432"/>
      <c r="BU80" s="432"/>
      <c r="BV80" s="432"/>
      <c r="BW80" s="434"/>
      <c r="BX80" s="432"/>
      <c r="BY80" s="432"/>
      <c r="BZ80" s="432"/>
      <c r="CA80" s="432"/>
      <c r="CB80" s="432"/>
      <c r="CC80" s="432"/>
      <c r="CD80" s="432"/>
      <c r="CE80" s="432"/>
      <c r="CF80" s="434"/>
      <c r="CG80" s="432"/>
      <c r="CH80" s="432"/>
      <c r="CI80" s="432"/>
      <c r="CS80" s="245"/>
      <c r="CT80" s="245"/>
      <c r="CU80" s="10"/>
    </row>
    <row r="81" spans="1:100">
      <c r="A81" s="147"/>
      <c r="B81" s="19" t="s">
        <v>8</v>
      </c>
      <c r="C81" s="1065"/>
      <c r="D81" s="960">
        <f>'KTR-Ausweis Gesamtansicht'!CN21</f>
        <v>0</v>
      </c>
      <c r="E81" s="954">
        <f t="shared" si="223"/>
        <v>0</v>
      </c>
      <c r="F81" s="1066"/>
      <c r="G81" s="960">
        <f t="shared" si="224"/>
        <v>0</v>
      </c>
      <c r="H81" s="955">
        <f t="shared" si="225"/>
        <v>0</v>
      </c>
      <c r="I81" s="432"/>
      <c r="J81" s="432"/>
      <c r="K81" s="432"/>
      <c r="L81" s="432"/>
      <c r="M81" s="432"/>
      <c r="N81" s="432"/>
      <c r="O81" s="432"/>
      <c r="P81" s="432"/>
      <c r="Q81" s="432"/>
      <c r="R81" s="432"/>
      <c r="S81" s="432"/>
      <c r="T81" s="432"/>
      <c r="U81" s="432"/>
      <c r="V81" s="432"/>
      <c r="W81" s="432"/>
      <c r="X81" s="432"/>
      <c r="Y81" s="432"/>
      <c r="Z81" s="432"/>
      <c r="AA81" s="432"/>
      <c r="AB81" s="432"/>
      <c r="AC81" s="432"/>
      <c r="AD81" s="432"/>
      <c r="AE81" s="432"/>
      <c r="AF81" s="432"/>
      <c r="AG81" s="432"/>
      <c r="AH81" s="432"/>
      <c r="AI81" s="432"/>
      <c r="AJ81" s="432"/>
      <c r="AK81" s="432"/>
      <c r="AL81" s="432"/>
      <c r="AM81" s="432"/>
      <c r="AN81" s="432"/>
      <c r="AO81" s="432"/>
      <c r="AP81" s="432"/>
      <c r="AQ81" s="432"/>
      <c r="AR81" s="432"/>
      <c r="AS81" s="432"/>
      <c r="AT81" s="432"/>
      <c r="AU81" s="432"/>
      <c r="AV81" s="432"/>
      <c r="AW81" s="432"/>
      <c r="AX81" s="432"/>
      <c r="AY81" s="432"/>
      <c r="AZ81" s="432"/>
      <c r="BA81" s="432"/>
      <c r="BB81" s="432"/>
      <c r="BC81" s="432"/>
      <c r="BD81" s="432"/>
      <c r="BE81" s="432"/>
      <c r="BF81" s="432"/>
      <c r="BG81" s="432"/>
      <c r="BH81" s="432"/>
      <c r="BI81" s="432"/>
      <c r="BJ81" s="432"/>
      <c r="BK81" s="432"/>
      <c r="BL81" s="432"/>
      <c r="BM81" s="432"/>
      <c r="BN81" s="432"/>
      <c r="BO81" s="432"/>
      <c r="BP81" s="432"/>
      <c r="BQ81" s="432"/>
      <c r="BR81" s="432"/>
      <c r="BS81" s="432"/>
      <c r="BT81" s="432"/>
      <c r="BU81" s="432"/>
      <c r="BV81" s="432"/>
      <c r="BW81" s="434"/>
      <c r="BX81" s="432"/>
      <c r="BY81" s="432"/>
      <c r="BZ81" s="432"/>
      <c r="CA81" s="432"/>
      <c r="CB81" s="432"/>
      <c r="CC81" s="432"/>
      <c r="CD81" s="432"/>
      <c r="CE81" s="432"/>
      <c r="CF81" s="434"/>
      <c r="CG81" s="432"/>
      <c r="CH81" s="432"/>
      <c r="CI81" s="432"/>
      <c r="CS81" s="245"/>
      <c r="CT81" s="245"/>
      <c r="CU81" s="10"/>
    </row>
    <row r="82" spans="1:100">
      <c r="A82" s="147"/>
      <c r="B82" s="20" t="s">
        <v>9</v>
      </c>
      <c r="C82" s="1065"/>
      <c r="D82" s="960">
        <f>'KTR-Ausweis Gesamtansicht'!CO21</f>
        <v>0</v>
      </c>
      <c r="E82" s="954">
        <f t="shared" si="223"/>
        <v>0</v>
      </c>
      <c r="F82" s="1066"/>
      <c r="G82" s="960">
        <f t="shared" si="224"/>
        <v>0</v>
      </c>
      <c r="H82" s="955">
        <f t="shared" si="225"/>
        <v>0</v>
      </c>
      <c r="I82" s="432"/>
      <c r="J82" s="432"/>
      <c r="K82" s="432"/>
      <c r="L82" s="432"/>
      <c r="M82" s="432"/>
      <c r="N82" s="432"/>
      <c r="O82" s="432"/>
      <c r="P82" s="432"/>
      <c r="Q82" s="432"/>
      <c r="R82" s="432"/>
      <c r="S82" s="432"/>
      <c r="T82" s="432"/>
      <c r="U82" s="432"/>
      <c r="V82" s="432"/>
      <c r="W82" s="432"/>
      <c r="X82" s="432"/>
      <c r="Y82" s="432"/>
      <c r="Z82" s="432"/>
      <c r="AA82" s="432"/>
      <c r="AB82" s="432"/>
      <c r="AC82" s="432"/>
      <c r="AD82" s="432"/>
      <c r="AE82" s="432"/>
      <c r="AF82" s="432"/>
      <c r="AG82" s="432"/>
      <c r="AH82" s="432"/>
      <c r="AI82" s="432"/>
      <c r="AJ82" s="432"/>
      <c r="AK82" s="432"/>
      <c r="AL82" s="432"/>
      <c r="AM82" s="432"/>
      <c r="AN82" s="432"/>
      <c r="AO82" s="432"/>
      <c r="AP82" s="432"/>
      <c r="AQ82" s="432"/>
      <c r="AR82" s="432"/>
      <c r="AS82" s="432"/>
      <c r="AT82" s="432"/>
      <c r="AU82" s="432"/>
      <c r="AV82" s="432"/>
      <c r="AW82" s="432"/>
      <c r="AX82" s="432"/>
      <c r="AY82" s="432"/>
      <c r="AZ82" s="432"/>
      <c r="BA82" s="432"/>
      <c r="BB82" s="432"/>
      <c r="BC82" s="432"/>
      <c r="BD82" s="432"/>
      <c r="BE82" s="432"/>
      <c r="BF82" s="432"/>
      <c r="BG82" s="432"/>
      <c r="BH82" s="432"/>
      <c r="BI82" s="432"/>
      <c r="BJ82" s="432"/>
      <c r="BK82" s="432"/>
      <c r="BL82" s="432"/>
      <c r="BM82" s="432"/>
      <c r="BN82" s="432"/>
      <c r="BO82" s="432"/>
      <c r="BP82" s="432"/>
      <c r="BQ82" s="432"/>
      <c r="BR82" s="432"/>
      <c r="BS82" s="432"/>
      <c r="BT82" s="432"/>
      <c r="BU82" s="432"/>
      <c r="BV82" s="432"/>
      <c r="BW82" s="434"/>
      <c r="BX82" s="432"/>
      <c r="BY82" s="432"/>
      <c r="BZ82" s="432"/>
      <c r="CA82" s="432"/>
      <c r="CB82" s="432"/>
      <c r="CC82" s="432"/>
      <c r="CD82" s="432"/>
      <c r="CE82" s="432"/>
      <c r="CF82" s="434"/>
      <c r="CG82" s="432"/>
      <c r="CH82" s="432"/>
      <c r="CI82" s="432"/>
      <c r="CS82" s="245"/>
      <c r="CT82" s="245"/>
      <c r="CU82" s="10"/>
    </row>
    <row r="83" spans="1:100">
      <c r="A83" s="147"/>
      <c r="B83" s="713" t="s">
        <v>10</v>
      </c>
      <c r="C83" s="1065"/>
      <c r="D83" s="960">
        <f>'KTR-Ausweis Gesamtansicht'!CP21</f>
        <v>0</v>
      </c>
      <c r="E83" s="954">
        <f t="shared" si="223"/>
        <v>0</v>
      </c>
      <c r="F83" s="1066"/>
      <c r="G83" s="960">
        <f t="shared" si="224"/>
        <v>0</v>
      </c>
      <c r="H83" s="955">
        <f t="shared" si="225"/>
        <v>0</v>
      </c>
      <c r="I83" s="432"/>
      <c r="J83" s="432"/>
      <c r="K83" s="432"/>
      <c r="L83" s="432"/>
      <c r="M83" s="432"/>
      <c r="N83" s="432"/>
      <c r="O83" s="432"/>
      <c r="P83" s="432"/>
      <c r="Q83" s="432"/>
      <c r="R83" s="432"/>
      <c r="S83" s="432"/>
      <c r="T83" s="432"/>
      <c r="U83" s="432"/>
      <c r="V83" s="432"/>
      <c r="W83" s="432"/>
      <c r="X83" s="432"/>
      <c r="Y83" s="432"/>
      <c r="Z83" s="432"/>
      <c r="AA83" s="432"/>
      <c r="AB83" s="432"/>
      <c r="AC83" s="432"/>
      <c r="AD83" s="432"/>
      <c r="AE83" s="432"/>
      <c r="AF83" s="432"/>
      <c r="AG83" s="432"/>
      <c r="AH83" s="432"/>
      <c r="AI83" s="432"/>
      <c r="AJ83" s="432"/>
      <c r="AK83" s="432"/>
      <c r="AL83" s="432"/>
      <c r="AM83" s="432"/>
      <c r="AN83" s="432"/>
      <c r="AO83" s="432"/>
      <c r="AP83" s="432"/>
      <c r="AQ83" s="432"/>
      <c r="AR83" s="432"/>
      <c r="AS83" s="432"/>
      <c r="AT83" s="432"/>
      <c r="AU83" s="432"/>
      <c r="AV83" s="432"/>
      <c r="AW83" s="432"/>
      <c r="AX83" s="432"/>
      <c r="AY83" s="432"/>
      <c r="AZ83" s="432"/>
      <c r="BA83" s="432"/>
      <c r="BB83" s="432"/>
      <c r="BC83" s="432"/>
      <c r="BD83" s="432"/>
      <c r="BE83" s="432"/>
      <c r="BF83" s="432"/>
      <c r="BG83" s="432"/>
      <c r="BH83" s="432"/>
      <c r="BI83" s="432"/>
      <c r="BJ83" s="432"/>
      <c r="BK83" s="432"/>
      <c r="BL83" s="432"/>
      <c r="BM83" s="432"/>
      <c r="BN83" s="432"/>
      <c r="BO83" s="432"/>
      <c r="BP83" s="432"/>
      <c r="BQ83" s="432"/>
      <c r="BR83" s="432"/>
      <c r="BS83" s="432"/>
      <c r="BT83" s="432"/>
      <c r="BU83" s="432"/>
      <c r="BV83" s="432"/>
      <c r="BW83" s="434"/>
      <c r="BX83" s="432"/>
      <c r="BY83" s="432"/>
      <c r="BZ83" s="432"/>
      <c r="CA83" s="432"/>
      <c r="CB83" s="432"/>
      <c r="CC83" s="432"/>
      <c r="CD83" s="432"/>
      <c r="CE83" s="432"/>
      <c r="CF83" s="434"/>
      <c r="CG83" s="432"/>
      <c r="CH83" s="432"/>
      <c r="CI83" s="432"/>
      <c r="CS83" s="245"/>
      <c r="CT83" s="245"/>
      <c r="CU83" s="10"/>
    </row>
    <row r="84" spans="1:100">
      <c r="A84" s="147"/>
      <c r="B84" s="714" t="s">
        <v>13</v>
      </c>
      <c r="C84" s="1065"/>
      <c r="D84" s="960">
        <f>'KTR-Ausweis Gesamtansicht'!CQ21</f>
        <v>0</v>
      </c>
      <c r="E84" s="954">
        <f t="shared" si="223"/>
        <v>0</v>
      </c>
      <c r="F84" s="1066"/>
      <c r="G84" s="960">
        <f t="shared" si="224"/>
        <v>0</v>
      </c>
      <c r="H84" s="955">
        <f t="shared" si="225"/>
        <v>0</v>
      </c>
      <c r="I84" s="432"/>
      <c r="J84" s="432"/>
      <c r="K84" s="432"/>
      <c r="L84" s="432"/>
      <c r="M84" s="432"/>
      <c r="N84" s="432"/>
      <c r="O84" s="432"/>
      <c r="P84" s="432"/>
      <c r="Q84" s="432"/>
      <c r="R84" s="432"/>
      <c r="S84" s="432"/>
      <c r="T84" s="432"/>
      <c r="U84" s="432"/>
      <c r="V84" s="432"/>
      <c r="W84" s="432"/>
      <c r="X84" s="432"/>
      <c r="Y84" s="432"/>
      <c r="Z84" s="432"/>
      <c r="AA84" s="432"/>
      <c r="AB84" s="432"/>
      <c r="AC84" s="432"/>
      <c r="AD84" s="432"/>
      <c r="AE84" s="432"/>
      <c r="AF84" s="432"/>
      <c r="AG84" s="432"/>
      <c r="AH84" s="432"/>
      <c r="AI84" s="432"/>
      <c r="AJ84" s="432"/>
      <c r="AK84" s="432"/>
      <c r="AL84" s="432"/>
      <c r="AM84" s="432"/>
      <c r="AN84" s="432"/>
      <c r="AO84" s="432"/>
      <c r="AP84" s="432"/>
      <c r="AQ84" s="432"/>
      <c r="AR84" s="432"/>
      <c r="AS84" s="432"/>
      <c r="AT84" s="432"/>
      <c r="AU84" s="432"/>
      <c r="AV84" s="432"/>
      <c r="AW84" s="432"/>
      <c r="AX84" s="432"/>
      <c r="AY84" s="432"/>
      <c r="AZ84" s="432"/>
      <c r="BA84" s="432"/>
      <c r="BB84" s="432"/>
      <c r="BC84" s="432"/>
      <c r="BD84" s="432"/>
      <c r="BE84" s="432"/>
      <c r="BF84" s="432"/>
      <c r="BG84" s="432"/>
      <c r="BH84" s="432"/>
      <c r="BI84" s="432"/>
      <c r="BJ84" s="432"/>
      <c r="BK84" s="432"/>
      <c r="BL84" s="432"/>
      <c r="BM84" s="432"/>
      <c r="BN84" s="432"/>
      <c r="BO84" s="432"/>
      <c r="BP84" s="432"/>
      <c r="BQ84" s="432"/>
      <c r="BR84" s="432"/>
      <c r="BS84" s="432"/>
      <c r="BT84" s="432"/>
      <c r="BU84" s="432"/>
      <c r="BV84" s="432"/>
      <c r="BW84" s="434"/>
      <c r="BX84" s="432"/>
      <c r="BY84" s="432"/>
      <c r="BZ84" s="432"/>
      <c r="CA84" s="432"/>
      <c r="CB84" s="432"/>
      <c r="CC84" s="432"/>
      <c r="CD84" s="432"/>
      <c r="CE84" s="432"/>
      <c r="CF84" s="434"/>
      <c r="CG84" s="432"/>
      <c r="CH84" s="432"/>
      <c r="CI84" s="432"/>
      <c r="CS84" s="245"/>
      <c r="CT84" s="245"/>
      <c r="CU84" s="10"/>
    </row>
    <row r="85" spans="1:100" ht="13.5" thickBot="1">
      <c r="A85" s="147"/>
      <c r="B85" s="715" t="s">
        <v>77</v>
      </c>
      <c r="C85" s="1065"/>
      <c r="D85" s="960">
        <f>'KTR-Ausweis Gesamtansicht'!CR21</f>
        <v>0</v>
      </c>
      <c r="E85" s="954">
        <f t="shared" si="223"/>
        <v>0</v>
      </c>
      <c r="F85" s="1066"/>
      <c r="G85" s="960">
        <f t="shared" si="224"/>
        <v>0</v>
      </c>
      <c r="H85" s="955">
        <f t="shared" si="225"/>
        <v>0</v>
      </c>
      <c r="I85" s="432"/>
      <c r="J85" s="432"/>
      <c r="K85" s="432"/>
      <c r="L85" s="432"/>
      <c r="M85" s="432"/>
      <c r="N85" s="432"/>
      <c r="O85" s="432"/>
      <c r="P85" s="432"/>
      <c r="Q85" s="432"/>
      <c r="R85" s="432"/>
      <c r="S85" s="432"/>
      <c r="T85" s="432"/>
      <c r="U85" s="432"/>
      <c r="V85" s="432"/>
      <c r="W85" s="432"/>
      <c r="X85" s="432"/>
      <c r="Y85" s="432"/>
      <c r="Z85" s="432"/>
      <c r="AA85" s="432"/>
      <c r="AB85" s="432"/>
      <c r="AC85" s="432"/>
      <c r="AD85" s="432"/>
      <c r="AE85" s="432"/>
      <c r="AF85" s="432"/>
      <c r="AG85" s="432"/>
      <c r="AH85" s="432"/>
      <c r="AI85" s="432"/>
      <c r="AJ85" s="432"/>
      <c r="AK85" s="432"/>
      <c r="AL85" s="432"/>
      <c r="AM85" s="432"/>
      <c r="AN85" s="432"/>
      <c r="AO85" s="432"/>
      <c r="AP85" s="432"/>
      <c r="AQ85" s="432"/>
      <c r="AR85" s="432"/>
      <c r="AS85" s="432"/>
      <c r="AT85" s="432"/>
      <c r="AU85" s="432"/>
      <c r="AV85" s="432"/>
      <c r="AW85" s="432"/>
      <c r="AX85" s="432"/>
      <c r="AY85" s="432"/>
      <c r="AZ85" s="432"/>
      <c r="BA85" s="432"/>
      <c r="BB85" s="432"/>
      <c r="BC85" s="432"/>
      <c r="BD85" s="432"/>
      <c r="BE85" s="432"/>
      <c r="BF85" s="432"/>
      <c r="BG85" s="432"/>
      <c r="BH85" s="432"/>
      <c r="BI85" s="432"/>
      <c r="BJ85" s="432"/>
      <c r="BK85" s="432"/>
      <c r="BL85" s="432"/>
      <c r="BM85" s="432"/>
      <c r="BN85" s="432"/>
      <c r="BO85" s="432"/>
      <c r="BP85" s="432"/>
      <c r="BQ85" s="432"/>
      <c r="BR85" s="432"/>
      <c r="BS85" s="432"/>
      <c r="BT85" s="432"/>
      <c r="BU85" s="432"/>
      <c r="BV85" s="432"/>
      <c r="BW85" s="434"/>
      <c r="BX85" s="432"/>
      <c r="BY85" s="432"/>
      <c r="BZ85" s="432"/>
      <c r="CA85" s="432"/>
      <c r="CB85" s="432"/>
      <c r="CC85" s="432"/>
      <c r="CD85" s="432"/>
      <c r="CE85" s="432"/>
      <c r="CF85" s="434"/>
      <c r="CG85" s="432"/>
      <c r="CH85" s="432"/>
      <c r="CI85" s="432"/>
      <c r="CS85" s="245"/>
      <c r="CT85" s="245"/>
      <c r="CU85" s="10"/>
    </row>
    <row r="86" spans="1:100" ht="13.5" thickBot="1">
      <c r="A86" s="147"/>
      <c r="B86" s="21" t="s">
        <v>6</v>
      </c>
      <c r="C86" s="639">
        <f>SUM(C78:C85)</f>
        <v>0</v>
      </c>
      <c r="D86" s="640"/>
      <c r="E86" s="640"/>
      <c r="F86" s="147"/>
      <c r="G86" s="147"/>
      <c r="H86" s="147"/>
      <c r="I86" s="148"/>
      <c r="J86" s="432"/>
      <c r="K86" s="432"/>
      <c r="L86" s="432"/>
      <c r="M86" s="432"/>
      <c r="N86" s="432"/>
      <c r="O86" s="432"/>
      <c r="P86" s="432"/>
      <c r="Q86" s="432"/>
      <c r="R86" s="432"/>
      <c r="S86" s="432"/>
      <c r="T86" s="432"/>
      <c r="U86" s="432"/>
      <c r="V86" s="432"/>
      <c r="W86" s="432"/>
      <c r="X86" s="432"/>
      <c r="Y86" s="432"/>
      <c r="Z86" s="432"/>
      <c r="AA86" s="432"/>
      <c r="AB86" s="432"/>
      <c r="AC86" s="432"/>
      <c r="AD86" s="432"/>
      <c r="AE86" s="432"/>
      <c r="AF86" s="432"/>
      <c r="AG86" s="432"/>
      <c r="AH86" s="432"/>
      <c r="AI86" s="432"/>
      <c r="AJ86" s="432"/>
      <c r="AK86" s="432"/>
      <c r="AL86" s="432"/>
      <c r="AM86" s="432"/>
      <c r="AN86" s="432"/>
      <c r="AO86" s="432"/>
      <c r="AP86" s="432"/>
      <c r="AQ86" s="432"/>
      <c r="AR86" s="432"/>
      <c r="AS86" s="432"/>
      <c r="AT86" s="432"/>
      <c r="AU86" s="432"/>
      <c r="AV86" s="432"/>
      <c r="AW86" s="432"/>
      <c r="AX86" s="432"/>
      <c r="AY86" s="432"/>
      <c r="AZ86" s="432"/>
      <c r="BA86" s="432"/>
      <c r="BB86" s="432"/>
      <c r="BC86" s="432"/>
      <c r="BD86" s="432"/>
      <c r="BE86" s="432"/>
      <c r="BF86" s="432"/>
      <c r="BG86" s="432"/>
      <c r="BH86" s="432"/>
      <c r="BI86" s="432"/>
      <c r="BJ86" s="432"/>
      <c r="BK86" s="432"/>
      <c r="BL86" s="432"/>
      <c r="BM86" s="432"/>
      <c r="BN86" s="432"/>
      <c r="BO86" s="432"/>
      <c r="BP86" s="432"/>
      <c r="BQ86" s="432"/>
      <c r="BR86" s="432"/>
      <c r="BS86" s="432"/>
      <c r="BT86" s="432"/>
      <c r="BU86" s="432"/>
      <c r="BV86" s="432"/>
      <c r="BW86" s="434"/>
      <c r="BX86" s="432"/>
      <c r="BY86" s="432"/>
      <c r="BZ86" s="432"/>
      <c r="CA86" s="432"/>
      <c r="CB86" s="432"/>
      <c r="CC86" s="432"/>
      <c r="CD86" s="432"/>
      <c r="CE86" s="432"/>
      <c r="CF86" s="434"/>
      <c r="CG86" s="432"/>
      <c r="CH86" s="432"/>
      <c r="CI86" s="432"/>
      <c r="CJ86" s="432"/>
      <c r="CT86" s="244"/>
      <c r="CU86" s="244"/>
      <c r="CV86" s="28"/>
    </row>
    <row r="87" spans="1:100" ht="13.5" thickTop="1">
      <c r="D87" s="25"/>
      <c r="F87" s="431"/>
      <c r="G87" s="431"/>
      <c r="H87" s="432"/>
      <c r="I87" s="432"/>
      <c r="J87" s="433"/>
      <c r="K87" s="433"/>
      <c r="L87" s="433"/>
      <c r="M87" s="433"/>
      <c r="N87" s="433"/>
      <c r="O87" s="433"/>
      <c r="P87" s="433"/>
      <c r="Q87" s="433"/>
      <c r="R87" s="433"/>
      <c r="S87" s="433"/>
      <c r="T87" s="433"/>
      <c r="U87" s="433"/>
      <c r="V87" s="433"/>
      <c r="W87" s="433"/>
      <c r="X87" s="433"/>
      <c r="Y87" s="433"/>
      <c r="Z87" s="433"/>
      <c r="AA87" s="433"/>
      <c r="AB87" s="433"/>
      <c r="AC87" s="433"/>
      <c r="AD87" s="433"/>
      <c r="AE87" s="433"/>
      <c r="AF87" s="433"/>
      <c r="AG87" s="433"/>
      <c r="AH87" s="433"/>
      <c r="AI87" s="433"/>
      <c r="AJ87" s="433"/>
      <c r="AK87" s="433"/>
      <c r="AL87" s="433"/>
      <c r="AM87" s="433"/>
      <c r="AN87" s="433"/>
      <c r="AO87" s="433"/>
      <c r="AP87" s="433"/>
      <c r="AQ87" s="433"/>
      <c r="AR87" s="433"/>
      <c r="AS87" s="433"/>
      <c r="AT87" s="433"/>
      <c r="AU87" s="433"/>
      <c r="AV87" s="433"/>
      <c r="AW87" s="433"/>
      <c r="AX87" s="433"/>
      <c r="AY87" s="433"/>
      <c r="AZ87" s="433"/>
      <c r="BA87" s="433"/>
      <c r="BB87" s="433"/>
      <c r="BC87" s="433"/>
      <c r="BD87" s="433"/>
      <c r="BE87" s="433"/>
      <c r="BF87" s="433"/>
      <c r="BG87" s="433"/>
      <c r="BH87" s="433"/>
      <c r="BI87" s="433"/>
      <c r="BJ87" s="433"/>
      <c r="BK87" s="433"/>
      <c r="BL87" s="433"/>
      <c r="BM87" s="433"/>
      <c r="BN87" s="433"/>
      <c r="BO87" s="433"/>
      <c r="BP87" s="433"/>
      <c r="BQ87" s="433"/>
      <c r="BR87" s="433"/>
      <c r="BS87" s="433"/>
      <c r="BT87" s="433"/>
      <c r="BU87" s="433"/>
      <c r="BV87" s="433"/>
      <c r="BW87" s="788"/>
      <c r="BX87" s="433"/>
      <c r="BY87" s="433"/>
      <c r="BZ87" s="433"/>
      <c r="CA87" s="433"/>
      <c r="CB87" s="433"/>
      <c r="CC87" s="433"/>
      <c r="CD87" s="433"/>
      <c r="CE87" s="433"/>
      <c r="CF87" s="788"/>
      <c r="CG87" s="433"/>
      <c r="CH87" s="433"/>
      <c r="CI87" s="433"/>
      <c r="CJ87" s="433"/>
      <c r="CK87" s="76"/>
      <c r="CL87" s="76"/>
      <c r="CM87" s="76"/>
      <c r="CN87" s="76"/>
      <c r="CO87" s="76"/>
      <c r="CP87" s="76"/>
      <c r="CQ87" s="76"/>
      <c r="CR87" s="76"/>
      <c r="CS87" s="76"/>
      <c r="CT87" s="245"/>
      <c r="CU87" s="10"/>
    </row>
    <row r="88" spans="1:100">
      <c r="A88" s="25"/>
      <c r="B88" s="25"/>
      <c r="C88" s="25"/>
      <c r="D88" s="25"/>
      <c r="E88" s="25"/>
      <c r="F88" s="465"/>
      <c r="G88" s="465"/>
      <c r="H88" s="465"/>
      <c r="I88" s="466"/>
      <c r="J88" s="466"/>
      <c r="K88" s="466"/>
      <c r="L88" s="467"/>
      <c r="M88" s="467"/>
      <c r="N88" s="467"/>
      <c r="O88" s="467"/>
      <c r="P88" s="467"/>
      <c r="Q88" s="467"/>
      <c r="R88" s="467"/>
      <c r="S88" s="467"/>
      <c r="T88" s="467"/>
      <c r="U88" s="467"/>
      <c r="V88" s="467"/>
      <c r="W88" s="467"/>
      <c r="X88" s="467"/>
      <c r="Y88" s="467"/>
      <c r="Z88" s="467"/>
      <c r="AA88" s="467"/>
      <c r="AB88" s="467"/>
      <c r="AC88" s="467"/>
      <c r="AD88" s="467"/>
      <c r="AE88" s="467"/>
      <c r="AF88" s="467"/>
      <c r="AG88" s="467"/>
      <c r="AH88" s="467"/>
      <c r="AI88" s="467"/>
      <c r="AJ88" s="467"/>
      <c r="AK88" s="467"/>
      <c r="AL88" s="467"/>
      <c r="AM88" s="467"/>
      <c r="AN88" s="467"/>
      <c r="AO88" s="467"/>
      <c r="AP88" s="467"/>
      <c r="AQ88" s="467"/>
      <c r="AR88" s="467"/>
      <c r="AS88" s="467"/>
      <c r="AT88" s="467"/>
      <c r="AU88" s="467"/>
      <c r="AV88" s="467"/>
      <c r="AW88" s="467"/>
      <c r="AX88" s="467"/>
      <c r="AY88" s="467"/>
      <c r="AZ88" s="467"/>
      <c r="BA88" s="467"/>
      <c r="BB88" s="467"/>
      <c r="BC88" s="467"/>
      <c r="BD88" s="467"/>
      <c r="BE88" s="467"/>
      <c r="BF88" s="467"/>
      <c r="BG88" s="467"/>
      <c r="BH88" s="467"/>
      <c r="BI88" s="467"/>
      <c r="BJ88" s="467"/>
      <c r="BK88" s="467"/>
      <c r="BL88" s="467"/>
      <c r="BM88" s="467"/>
      <c r="BN88" s="467"/>
      <c r="BO88" s="467"/>
      <c r="BP88" s="467"/>
      <c r="BQ88" s="467"/>
      <c r="BR88" s="467"/>
      <c r="BS88" s="467"/>
      <c r="BT88" s="467"/>
      <c r="BU88" s="467"/>
      <c r="BV88" s="467"/>
      <c r="BW88" s="467"/>
      <c r="BX88" s="467"/>
      <c r="BY88" s="467"/>
      <c r="BZ88" s="467"/>
      <c r="CA88" s="467"/>
      <c r="CB88" s="467"/>
      <c r="CC88" s="467"/>
      <c r="CD88" s="467"/>
      <c r="CE88" s="467"/>
      <c r="CF88" s="467"/>
      <c r="CG88" s="467"/>
      <c r="CH88" s="467"/>
      <c r="CI88" s="467"/>
      <c r="CJ88" s="467"/>
      <c r="CK88" s="78"/>
      <c r="CL88" s="78"/>
      <c r="CM88" s="78"/>
      <c r="CN88" s="78"/>
      <c r="CO88" s="78"/>
      <c r="CP88" s="78"/>
      <c r="CQ88" s="78"/>
      <c r="CR88" s="78"/>
      <c r="CS88" s="78"/>
      <c r="CT88" s="78"/>
      <c r="CU88" s="245"/>
    </row>
    <row r="89" spans="1:100">
      <c r="A89" s="25"/>
      <c r="B89" s="135"/>
      <c r="C89" s="25"/>
      <c r="D89" s="25"/>
      <c r="E89" s="25"/>
      <c r="F89" s="465"/>
      <c r="G89" s="465"/>
      <c r="H89" s="465"/>
      <c r="I89" s="466"/>
      <c r="J89" s="466"/>
      <c r="K89" s="466"/>
      <c r="L89" s="467"/>
      <c r="M89" s="467"/>
      <c r="N89" s="467"/>
      <c r="O89" s="467"/>
      <c r="P89" s="466"/>
      <c r="Q89" s="466"/>
      <c r="R89" s="467"/>
      <c r="S89" s="467"/>
      <c r="T89" s="467"/>
      <c r="U89" s="467"/>
      <c r="V89" s="467"/>
      <c r="W89" s="467"/>
      <c r="X89" s="467"/>
      <c r="Y89" s="467"/>
      <c r="Z89" s="467"/>
      <c r="AA89" s="467"/>
      <c r="AB89" s="467"/>
      <c r="AC89" s="467"/>
      <c r="AD89" s="467"/>
      <c r="AE89" s="467"/>
      <c r="AF89" s="467"/>
      <c r="AG89" s="467"/>
      <c r="AH89" s="467"/>
      <c r="AI89" s="467"/>
      <c r="AJ89" s="467"/>
      <c r="AK89" s="467"/>
      <c r="AL89" s="467"/>
      <c r="AM89" s="467"/>
      <c r="AN89" s="467"/>
      <c r="AO89" s="467"/>
      <c r="AP89" s="467"/>
      <c r="AQ89" s="467"/>
      <c r="AR89" s="467"/>
      <c r="AS89" s="467"/>
      <c r="AT89" s="467"/>
      <c r="AU89" s="467"/>
      <c r="AV89" s="467"/>
      <c r="AW89" s="467"/>
      <c r="AX89" s="467"/>
      <c r="AY89" s="467"/>
      <c r="AZ89" s="467"/>
      <c r="BA89" s="467"/>
      <c r="BB89" s="467"/>
      <c r="BC89" s="467"/>
      <c r="BD89" s="467"/>
      <c r="BE89" s="467"/>
      <c r="BF89" s="467"/>
      <c r="BG89" s="467"/>
      <c r="BH89" s="467"/>
      <c r="BI89" s="467"/>
      <c r="BJ89" s="467"/>
      <c r="BK89" s="467"/>
      <c r="BL89" s="467"/>
      <c r="BM89" s="467"/>
      <c r="BN89" s="467"/>
      <c r="BO89" s="467"/>
      <c r="BP89" s="467"/>
      <c r="BQ89" s="467"/>
      <c r="BR89" s="467"/>
      <c r="BS89" s="467"/>
      <c r="BT89" s="467"/>
      <c r="BU89" s="467"/>
      <c r="BV89" s="467"/>
      <c r="BW89" s="467"/>
      <c r="BX89" s="467"/>
      <c r="BY89" s="467"/>
      <c r="BZ89" s="467"/>
      <c r="CA89" s="467"/>
      <c r="CB89" s="467"/>
      <c r="CC89" s="467"/>
      <c r="CD89" s="467"/>
      <c r="CE89" s="467"/>
      <c r="CF89" s="467"/>
      <c r="CG89" s="467"/>
      <c r="CH89" s="467"/>
      <c r="CI89" s="467"/>
      <c r="CJ89" s="467"/>
      <c r="CK89" s="78"/>
      <c r="CL89" s="78"/>
      <c r="CM89" s="78"/>
      <c r="CN89" s="78"/>
      <c r="CO89" s="78"/>
      <c r="CP89" s="78"/>
      <c r="CQ89" s="78"/>
      <c r="CR89" s="78"/>
      <c r="CS89" s="78"/>
      <c r="CT89" s="78"/>
      <c r="CU89" s="245"/>
    </row>
    <row r="90" spans="1:100">
      <c r="A90" s="25"/>
      <c r="B90" s="136"/>
      <c r="C90" s="136"/>
      <c r="D90" s="136"/>
      <c r="E90" s="136"/>
      <c r="F90" s="468"/>
      <c r="G90" s="468"/>
      <c r="H90" s="468"/>
      <c r="I90" s="469"/>
      <c r="J90" s="469"/>
      <c r="K90" s="469"/>
      <c r="L90" s="467"/>
      <c r="M90" s="433"/>
      <c r="N90" s="433"/>
      <c r="O90" s="433"/>
      <c r="P90" s="469"/>
      <c r="Q90" s="469"/>
      <c r="R90" s="433"/>
      <c r="S90" s="469"/>
      <c r="T90" s="469"/>
      <c r="U90" s="467"/>
      <c r="V90" s="433"/>
      <c r="W90" s="469"/>
      <c r="X90" s="469"/>
      <c r="Y90" s="467"/>
      <c r="Z90" s="433"/>
      <c r="AA90" s="469"/>
      <c r="AB90" s="469"/>
      <c r="AC90" s="467"/>
      <c r="AD90" s="433"/>
      <c r="AE90" s="469"/>
      <c r="AF90" s="469"/>
      <c r="AG90" s="467"/>
      <c r="AH90" s="433"/>
      <c r="AI90" s="469"/>
      <c r="AJ90" s="469"/>
      <c r="AK90" s="467"/>
      <c r="AL90" s="433"/>
      <c r="AM90" s="469"/>
      <c r="AN90" s="469"/>
      <c r="AO90" s="467"/>
      <c r="AP90" s="433"/>
      <c r="AQ90" s="433"/>
      <c r="AR90" s="433"/>
      <c r="AS90" s="433"/>
      <c r="AT90" s="433"/>
      <c r="AU90" s="433"/>
      <c r="AV90" s="433"/>
      <c r="AW90" s="433"/>
      <c r="AX90" s="433"/>
      <c r="AY90" s="433"/>
      <c r="AZ90" s="433"/>
      <c r="BA90" s="433"/>
      <c r="BB90" s="433"/>
      <c r="BC90" s="433"/>
      <c r="BD90" s="469"/>
      <c r="BE90" s="469"/>
      <c r="BF90" s="469"/>
      <c r="BG90" s="469"/>
      <c r="BH90" s="469"/>
      <c r="BI90" s="467"/>
      <c r="BJ90" s="433"/>
      <c r="BK90" s="433"/>
      <c r="BL90" s="469"/>
      <c r="BM90" s="469"/>
      <c r="BN90" s="467"/>
      <c r="BO90" s="433"/>
      <c r="BP90" s="433"/>
      <c r="BQ90" s="467"/>
      <c r="BR90" s="433"/>
      <c r="BS90" s="469"/>
      <c r="BT90" s="432"/>
      <c r="BU90" s="432"/>
      <c r="BV90" s="432"/>
      <c r="BW90" s="434"/>
      <c r="BX90" s="433"/>
      <c r="BY90" s="433"/>
      <c r="BZ90" s="433"/>
      <c r="CA90" s="433"/>
      <c r="CB90" s="433"/>
      <c r="CC90" s="433"/>
      <c r="CD90" s="433"/>
      <c r="CE90" s="433"/>
      <c r="CF90" s="434"/>
      <c r="CG90" s="432"/>
      <c r="CH90" s="432"/>
      <c r="CI90" s="432"/>
      <c r="CJ90" s="395"/>
      <c r="CK90" s="138"/>
      <c r="CL90" s="138"/>
      <c r="CM90" s="138"/>
      <c r="CN90" s="138"/>
      <c r="CO90" s="138"/>
      <c r="CP90" s="138"/>
      <c r="CQ90" s="138"/>
      <c r="CR90" s="138"/>
      <c r="CS90" s="10"/>
      <c r="CT90" s="245"/>
      <c r="CU90" s="245"/>
    </row>
    <row r="91" spans="1:100">
      <c r="A91" s="25"/>
      <c r="B91" s="25"/>
      <c r="C91" s="25"/>
      <c r="D91" s="25"/>
      <c r="E91" s="25"/>
      <c r="F91" s="465"/>
      <c r="G91" s="465"/>
      <c r="H91" s="465"/>
      <c r="I91" s="466"/>
      <c r="J91" s="466"/>
      <c r="K91" s="466"/>
      <c r="L91" s="467"/>
      <c r="M91" s="433"/>
      <c r="N91" s="433"/>
      <c r="O91" s="433"/>
      <c r="P91" s="466"/>
      <c r="Q91" s="466"/>
      <c r="R91" s="433"/>
      <c r="S91" s="466"/>
      <c r="T91" s="466"/>
      <c r="U91" s="467"/>
      <c r="V91" s="433"/>
      <c r="W91" s="466"/>
      <c r="X91" s="466"/>
      <c r="Y91" s="467"/>
      <c r="Z91" s="433"/>
      <c r="AA91" s="466"/>
      <c r="AB91" s="466"/>
      <c r="AC91" s="467"/>
      <c r="AD91" s="433"/>
      <c r="AE91" s="466"/>
      <c r="AF91" s="466"/>
      <c r="AG91" s="467"/>
      <c r="AH91" s="433"/>
      <c r="AI91" s="466"/>
      <c r="AJ91" s="466"/>
      <c r="AK91" s="467"/>
      <c r="AL91" s="433"/>
      <c r="AM91" s="466"/>
      <c r="AN91" s="466"/>
      <c r="AO91" s="467"/>
      <c r="AP91" s="433"/>
      <c r="AQ91" s="433"/>
      <c r="AR91" s="433"/>
      <c r="AS91" s="433"/>
      <c r="AT91" s="433"/>
      <c r="AU91" s="433"/>
      <c r="AV91" s="433"/>
      <c r="AW91" s="433"/>
      <c r="AX91" s="433"/>
      <c r="AY91" s="433"/>
      <c r="AZ91" s="433"/>
      <c r="BA91" s="433"/>
      <c r="BB91" s="433"/>
      <c r="BC91" s="433"/>
      <c r="BD91" s="466"/>
      <c r="BE91" s="466"/>
      <c r="BF91" s="466"/>
      <c r="BG91" s="466"/>
      <c r="BH91" s="466"/>
      <c r="BI91" s="467"/>
      <c r="BJ91" s="433"/>
      <c r="BK91" s="433"/>
      <c r="BL91" s="466"/>
      <c r="BM91" s="466"/>
      <c r="BN91" s="467"/>
      <c r="BO91" s="433"/>
      <c r="BP91" s="433"/>
      <c r="BQ91" s="467"/>
      <c r="BR91" s="433"/>
      <c r="BS91" s="466"/>
      <c r="BT91" s="432"/>
      <c r="BU91" s="432"/>
      <c r="BV91" s="432"/>
      <c r="BW91" s="434"/>
      <c r="BX91" s="433"/>
      <c r="BY91" s="433"/>
      <c r="BZ91" s="433"/>
      <c r="CA91" s="433"/>
      <c r="CB91" s="433"/>
      <c r="CC91" s="433"/>
      <c r="CD91" s="433"/>
      <c r="CE91" s="433"/>
      <c r="CF91" s="434"/>
      <c r="CG91" s="432"/>
      <c r="CH91" s="432"/>
      <c r="CI91" s="432"/>
      <c r="CJ91" s="587"/>
      <c r="CS91" s="10"/>
      <c r="CT91" s="245"/>
      <c r="CU91" s="245"/>
    </row>
    <row r="92" spans="1:100">
      <c r="A92" s="25"/>
      <c r="B92" s="25"/>
      <c r="C92" s="25"/>
      <c r="D92" s="25"/>
      <c r="E92" s="25"/>
      <c r="F92" s="465"/>
      <c r="G92" s="465"/>
      <c r="H92" s="465"/>
      <c r="I92" s="466"/>
      <c r="J92" s="466"/>
      <c r="K92" s="466"/>
      <c r="L92" s="467"/>
      <c r="M92" s="433"/>
      <c r="N92" s="433"/>
      <c r="O92" s="433"/>
      <c r="P92" s="466"/>
      <c r="Q92" s="466"/>
      <c r="R92" s="433"/>
      <c r="S92" s="466"/>
      <c r="T92" s="466"/>
      <c r="U92" s="467"/>
      <c r="V92" s="433"/>
      <c r="W92" s="466"/>
      <c r="X92" s="466"/>
      <c r="Y92" s="467"/>
      <c r="Z92" s="433"/>
      <c r="AA92" s="466"/>
      <c r="AB92" s="466"/>
      <c r="AC92" s="467"/>
      <c r="AD92" s="433"/>
      <c r="AE92" s="466"/>
      <c r="AF92" s="466"/>
      <c r="AG92" s="467"/>
      <c r="AH92" s="433"/>
      <c r="AI92" s="466"/>
      <c r="AJ92" s="466"/>
      <c r="AK92" s="467"/>
      <c r="AL92" s="433"/>
      <c r="AM92" s="466"/>
      <c r="AN92" s="466"/>
      <c r="AO92" s="467"/>
      <c r="AP92" s="433"/>
      <c r="AQ92" s="433"/>
      <c r="AR92" s="433"/>
      <c r="AS92" s="433"/>
      <c r="AT92" s="433"/>
      <c r="AU92" s="433"/>
      <c r="AV92" s="433"/>
      <c r="AW92" s="433"/>
      <c r="AX92" s="433"/>
      <c r="AY92" s="433"/>
      <c r="AZ92" s="433"/>
      <c r="BA92" s="433"/>
      <c r="BB92" s="433"/>
      <c r="BC92" s="433"/>
      <c r="BD92" s="466"/>
      <c r="BE92" s="466"/>
      <c r="BF92" s="466"/>
      <c r="BG92" s="466"/>
      <c r="BH92" s="466"/>
      <c r="BI92" s="467"/>
      <c r="BJ92" s="433"/>
      <c r="BK92" s="433"/>
      <c r="BL92" s="466"/>
      <c r="BM92" s="466"/>
      <c r="BN92" s="467"/>
      <c r="BO92" s="433"/>
      <c r="BP92" s="433"/>
      <c r="BQ92" s="467"/>
      <c r="BR92" s="433"/>
      <c r="BS92" s="466"/>
      <c r="BT92" s="432"/>
      <c r="BU92" s="432"/>
      <c r="BV92" s="432"/>
      <c r="BW92" s="434"/>
      <c r="BX92" s="433"/>
      <c r="BY92" s="433"/>
      <c r="BZ92" s="433"/>
      <c r="CA92" s="433"/>
      <c r="CB92" s="433"/>
      <c r="CC92" s="433"/>
      <c r="CD92" s="433"/>
      <c r="CE92" s="433"/>
      <c r="CF92" s="434"/>
      <c r="CG92" s="432"/>
      <c r="CH92" s="432"/>
      <c r="CI92" s="432"/>
      <c r="CJ92" s="587"/>
      <c r="CS92" s="10"/>
      <c r="CT92" s="245"/>
      <c r="CU92" s="245"/>
    </row>
    <row r="93" spans="1:100">
      <c r="A93" s="25"/>
      <c r="B93" s="25"/>
      <c r="C93" s="25"/>
      <c r="D93" s="25"/>
      <c r="E93" s="25"/>
      <c r="F93" s="465"/>
      <c r="G93" s="465"/>
      <c r="H93" s="465"/>
      <c r="I93" s="466"/>
      <c r="J93" s="466"/>
      <c r="K93" s="466"/>
      <c r="L93" s="467"/>
      <c r="M93" s="433"/>
      <c r="N93" s="433"/>
      <c r="O93" s="433"/>
      <c r="P93" s="466"/>
      <c r="Q93" s="466"/>
      <c r="R93" s="433"/>
      <c r="S93" s="466"/>
      <c r="T93" s="466"/>
      <c r="U93" s="467"/>
      <c r="V93" s="433"/>
      <c r="W93" s="466"/>
      <c r="X93" s="466"/>
      <c r="Y93" s="467"/>
      <c r="Z93" s="433"/>
      <c r="AA93" s="466"/>
      <c r="AB93" s="466"/>
      <c r="AC93" s="467"/>
      <c r="AD93" s="433"/>
      <c r="AE93" s="466"/>
      <c r="AF93" s="466"/>
      <c r="AG93" s="467"/>
      <c r="AH93" s="433"/>
      <c r="AI93" s="466"/>
      <c r="AJ93" s="466"/>
      <c r="AK93" s="467"/>
      <c r="AL93" s="433"/>
      <c r="AM93" s="466"/>
      <c r="AN93" s="466"/>
      <c r="AO93" s="467"/>
      <c r="AP93" s="433"/>
      <c r="AQ93" s="433"/>
      <c r="AR93" s="433"/>
      <c r="AS93" s="433"/>
      <c r="AT93" s="433"/>
      <c r="AU93" s="433"/>
      <c r="AV93" s="433"/>
      <c r="AW93" s="433"/>
      <c r="AX93" s="433"/>
      <c r="AY93" s="433"/>
      <c r="AZ93" s="433"/>
      <c r="BA93" s="433"/>
      <c r="BB93" s="433"/>
      <c r="BC93" s="433"/>
      <c r="BD93" s="466"/>
      <c r="BE93" s="466"/>
      <c r="BF93" s="466"/>
      <c r="BG93" s="466"/>
      <c r="BH93" s="466"/>
      <c r="BI93" s="467"/>
      <c r="BJ93" s="433"/>
      <c r="BK93" s="433"/>
      <c r="BL93" s="466"/>
      <c r="BM93" s="466"/>
      <c r="BN93" s="467"/>
      <c r="BO93" s="433"/>
      <c r="BP93" s="433"/>
      <c r="BQ93" s="467"/>
      <c r="BR93" s="433"/>
      <c r="BS93" s="466"/>
      <c r="BT93" s="432"/>
      <c r="BU93" s="432"/>
      <c r="BV93" s="432"/>
      <c r="BW93" s="434"/>
      <c r="BX93" s="433"/>
      <c r="BY93" s="433"/>
      <c r="BZ93" s="433"/>
      <c r="CA93" s="433"/>
      <c r="CB93" s="433"/>
      <c r="CC93" s="433"/>
      <c r="CD93" s="433"/>
      <c r="CE93" s="433"/>
      <c r="CF93" s="434"/>
      <c r="CG93" s="432"/>
      <c r="CH93" s="432"/>
      <c r="CI93" s="432"/>
      <c r="CJ93" s="588"/>
      <c r="CS93" s="10"/>
      <c r="CT93" s="245"/>
      <c r="CU93" s="245"/>
    </row>
    <row r="94" spans="1:100">
      <c r="A94" s="25"/>
      <c r="B94" s="136"/>
      <c r="C94" s="25"/>
      <c r="D94" s="25"/>
      <c r="E94" s="25"/>
      <c r="F94" s="465"/>
      <c r="G94" s="465"/>
      <c r="H94" s="465"/>
      <c r="I94" s="466"/>
      <c r="J94" s="466"/>
      <c r="K94" s="466"/>
      <c r="L94" s="467"/>
      <c r="M94" s="433"/>
      <c r="N94" s="433"/>
      <c r="O94" s="433"/>
      <c r="P94" s="466"/>
      <c r="Q94" s="466"/>
      <c r="R94" s="433"/>
      <c r="S94" s="466"/>
      <c r="T94" s="466"/>
      <c r="U94" s="467"/>
      <c r="V94" s="433"/>
      <c r="W94" s="466"/>
      <c r="X94" s="466"/>
      <c r="Y94" s="467"/>
      <c r="Z94" s="433"/>
      <c r="AA94" s="466"/>
      <c r="AB94" s="466"/>
      <c r="AC94" s="467"/>
      <c r="AD94" s="433"/>
      <c r="AE94" s="466"/>
      <c r="AF94" s="466"/>
      <c r="AG94" s="467"/>
      <c r="AH94" s="433"/>
      <c r="AI94" s="466"/>
      <c r="AJ94" s="466"/>
      <c r="AK94" s="467"/>
      <c r="AL94" s="433"/>
      <c r="AM94" s="466"/>
      <c r="AN94" s="466"/>
      <c r="AO94" s="467"/>
      <c r="AP94" s="433"/>
      <c r="AQ94" s="433"/>
      <c r="AR94" s="433"/>
      <c r="AS94" s="433"/>
      <c r="AT94" s="433"/>
      <c r="AU94" s="433"/>
      <c r="AV94" s="433"/>
      <c r="AW94" s="433"/>
      <c r="AX94" s="433"/>
      <c r="AY94" s="433"/>
      <c r="AZ94" s="433"/>
      <c r="BA94" s="433"/>
      <c r="BB94" s="433"/>
      <c r="BC94" s="433"/>
      <c r="BD94" s="466"/>
      <c r="BE94" s="466"/>
      <c r="BF94" s="466"/>
      <c r="BG94" s="466"/>
      <c r="BH94" s="466"/>
      <c r="BI94" s="467"/>
      <c r="BJ94" s="433"/>
      <c r="BK94" s="433"/>
      <c r="BL94" s="466"/>
      <c r="BM94" s="466"/>
      <c r="BN94" s="467"/>
      <c r="BO94" s="433"/>
      <c r="BP94" s="433"/>
      <c r="BQ94" s="467"/>
      <c r="BR94" s="433"/>
      <c r="BS94" s="466"/>
      <c r="BT94" s="432"/>
      <c r="BU94" s="432"/>
      <c r="BV94" s="432"/>
      <c r="BW94" s="434"/>
      <c r="BX94" s="433"/>
      <c r="BY94" s="433"/>
      <c r="BZ94" s="433"/>
      <c r="CA94" s="433"/>
      <c r="CB94" s="433"/>
      <c r="CC94" s="433"/>
      <c r="CD94" s="433"/>
      <c r="CE94" s="433"/>
      <c r="CF94" s="434"/>
      <c r="CG94" s="432"/>
      <c r="CH94" s="432"/>
      <c r="CI94" s="432"/>
      <c r="CJ94" s="587"/>
      <c r="CS94" s="10"/>
      <c r="CT94" s="245"/>
      <c r="CU94" s="245"/>
    </row>
    <row r="95" spans="1:100">
      <c r="A95" s="25"/>
      <c r="B95" s="135"/>
      <c r="C95" s="25"/>
      <c r="D95" s="25"/>
      <c r="E95" s="25"/>
      <c r="F95" s="465"/>
      <c r="G95" s="465"/>
      <c r="H95" s="465"/>
      <c r="I95" s="466"/>
      <c r="J95" s="466"/>
      <c r="K95" s="466"/>
      <c r="L95" s="467"/>
      <c r="M95" s="433"/>
      <c r="N95" s="433"/>
      <c r="O95" s="433"/>
      <c r="P95" s="466"/>
      <c r="Q95" s="466"/>
      <c r="R95" s="433"/>
      <c r="S95" s="466"/>
      <c r="T95" s="466"/>
      <c r="U95" s="467"/>
      <c r="V95" s="433"/>
      <c r="W95" s="466"/>
      <c r="X95" s="466"/>
      <c r="Y95" s="467"/>
      <c r="Z95" s="433"/>
      <c r="AA95" s="466"/>
      <c r="AB95" s="466"/>
      <c r="AC95" s="467"/>
      <c r="AD95" s="433"/>
      <c r="AE95" s="466"/>
      <c r="AF95" s="466"/>
      <c r="AG95" s="467"/>
      <c r="AH95" s="433"/>
      <c r="AI95" s="466"/>
      <c r="AJ95" s="466"/>
      <c r="AK95" s="467"/>
      <c r="AL95" s="433"/>
      <c r="AM95" s="466"/>
      <c r="AN95" s="466"/>
      <c r="AO95" s="467"/>
      <c r="AP95" s="433"/>
      <c r="AQ95" s="433"/>
      <c r="AR95" s="433"/>
      <c r="AS95" s="433"/>
      <c r="AT95" s="433"/>
      <c r="AU95" s="433"/>
      <c r="AV95" s="433"/>
      <c r="AW95" s="433"/>
      <c r="AX95" s="433"/>
      <c r="AY95" s="433"/>
      <c r="AZ95" s="433"/>
      <c r="BA95" s="433"/>
      <c r="BB95" s="433"/>
      <c r="BC95" s="433"/>
      <c r="BD95" s="466"/>
      <c r="BE95" s="466"/>
      <c r="BF95" s="466"/>
      <c r="BG95" s="466"/>
      <c r="BH95" s="466"/>
      <c r="BI95" s="467"/>
      <c r="BJ95" s="433"/>
      <c r="BK95" s="433"/>
      <c r="BL95" s="466"/>
      <c r="BM95" s="466"/>
      <c r="BN95" s="467"/>
      <c r="BO95" s="433"/>
      <c r="BP95" s="433"/>
      <c r="BQ95" s="467"/>
      <c r="BR95" s="433"/>
      <c r="BS95" s="466"/>
      <c r="BT95" s="432"/>
      <c r="BU95" s="432"/>
      <c r="BV95" s="432"/>
      <c r="BW95" s="434"/>
      <c r="BX95" s="433"/>
      <c r="BY95" s="433"/>
      <c r="BZ95" s="433"/>
      <c r="CA95" s="433"/>
      <c r="CB95" s="433"/>
      <c r="CC95" s="433"/>
      <c r="CD95" s="433"/>
      <c r="CE95" s="433"/>
      <c r="CF95" s="434"/>
      <c r="CG95" s="432"/>
      <c r="CH95" s="432"/>
      <c r="CI95" s="432"/>
      <c r="CJ95" s="587"/>
      <c r="CS95" s="10"/>
      <c r="CT95" s="245"/>
      <c r="CU95" s="245"/>
    </row>
    <row r="96" spans="1:100">
      <c r="A96" s="25"/>
      <c r="B96" s="25"/>
      <c r="C96" s="25"/>
      <c r="D96" s="25"/>
      <c r="E96" s="25"/>
      <c r="F96" s="465"/>
      <c r="G96" s="465"/>
      <c r="H96" s="465"/>
      <c r="I96" s="466"/>
      <c r="J96" s="466"/>
      <c r="K96" s="466"/>
      <c r="L96" s="467"/>
      <c r="M96" s="433"/>
      <c r="N96" s="433"/>
      <c r="O96" s="433"/>
      <c r="P96" s="466"/>
      <c r="Q96" s="466"/>
      <c r="R96" s="433"/>
      <c r="S96" s="466"/>
      <c r="T96" s="466"/>
      <c r="U96" s="467"/>
      <c r="V96" s="433"/>
      <c r="W96" s="466"/>
      <c r="X96" s="466"/>
      <c r="Y96" s="467"/>
      <c r="Z96" s="433"/>
      <c r="AA96" s="466"/>
      <c r="AB96" s="466"/>
      <c r="AC96" s="467"/>
      <c r="AD96" s="433"/>
      <c r="AE96" s="466"/>
      <c r="AF96" s="466"/>
      <c r="AG96" s="467"/>
      <c r="AH96" s="433"/>
      <c r="AI96" s="466"/>
      <c r="AJ96" s="466"/>
      <c r="AK96" s="467"/>
      <c r="AL96" s="433"/>
      <c r="AM96" s="466"/>
      <c r="AN96" s="466"/>
      <c r="AO96" s="467"/>
      <c r="AP96" s="433"/>
      <c r="AQ96" s="433"/>
      <c r="AR96" s="433"/>
      <c r="AS96" s="433"/>
      <c r="AT96" s="433"/>
      <c r="AU96" s="433"/>
      <c r="AV96" s="433"/>
      <c r="AW96" s="433"/>
      <c r="AX96" s="433"/>
      <c r="AY96" s="433"/>
      <c r="AZ96" s="433"/>
      <c r="BA96" s="433"/>
      <c r="BB96" s="433"/>
      <c r="BC96" s="433"/>
      <c r="BD96" s="466"/>
      <c r="BE96" s="466"/>
      <c r="BF96" s="466"/>
      <c r="BG96" s="466"/>
      <c r="BH96" s="466"/>
      <c r="BI96" s="467"/>
      <c r="BJ96" s="433"/>
      <c r="BK96" s="433"/>
      <c r="BL96" s="466"/>
      <c r="BM96" s="466"/>
      <c r="BN96" s="467"/>
      <c r="BO96" s="433"/>
      <c r="BP96" s="433"/>
      <c r="BQ96" s="467"/>
      <c r="BR96" s="433"/>
      <c r="BS96" s="466"/>
      <c r="BT96" s="432"/>
      <c r="BU96" s="432"/>
      <c r="BV96" s="432"/>
      <c r="BW96" s="434"/>
      <c r="BX96" s="433"/>
      <c r="BY96" s="433"/>
      <c r="BZ96" s="433"/>
      <c r="CA96" s="433"/>
      <c r="CB96" s="433"/>
      <c r="CC96" s="433"/>
      <c r="CD96" s="433"/>
      <c r="CE96" s="433"/>
      <c r="CF96" s="434"/>
      <c r="CG96" s="432"/>
      <c r="CH96" s="432"/>
      <c r="CI96" s="432"/>
      <c r="CJ96" s="395"/>
      <c r="CS96" s="10"/>
      <c r="CT96" s="245"/>
      <c r="CU96" s="245"/>
    </row>
    <row r="97" spans="1:99">
      <c r="A97" s="25"/>
      <c r="B97" s="25"/>
      <c r="C97" s="25"/>
      <c r="D97" s="25"/>
      <c r="E97" s="25"/>
      <c r="F97" s="465"/>
      <c r="G97" s="465"/>
      <c r="H97" s="465"/>
      <c r="I97" s="466"/>
      <c r="J97" s="466"/>
      <c r="K97" s="466"/>
      <c r="L97" s="467"/>
      <c r="M97" s="433"/>
      <c r="N97" s="433"/>
      <c r="O97" s="433"/>
      <c r="P97" s="466"/>
      <c r="Q97" s="466"/>
      <c r="R97" s="433"/>
      <c r="S97" s="466"/>
      <c r="T97" s="466"/>
      <c r="U97" s="467"/>
      <c r="V97" s="433"/>
      <c r="W97" s="466"/>
      <c r="X97" s="466"/>
      <c r="Y97" s="467"/>
      <c r="Z97" s="433"/>
      <c r="AA97" s="466"/>
      <c r="AB97" s="466"/>
      <c r="AC97" s="467"/>
      <c r="AD97" s="433"/>
      <c r="AE97" s="466"/>
      <c r="AF97" s="466"/>
      <c r="AG97" s="467"/>
      <c r="AH97" s="433"/>
      <c r="AI97" s="466"/>
      <c r="AJ97" s="466"/>
      <c r="AK97" s="467"/>
      <c r="AL97" s="433"/>
      <c r="AM97" s="466"/>
      <c r="AN97" s="466"/>
      <c r="AO97" s="467"/>
      <c r="AP97" s="433"/>
      <c r="AQ97" s="433"/>
      <c r="AR97" s="433"/>
      <c r="AS97" s="433"/>
      <c r="AT97" s="433"/>
      <c r="AU97" s="433"/>
      <c r="AV97" s="433"/>
      <c r="AW97" s="433"/>
      <c r="AX97" s="433"/>
      <c r="AY97" s="433"/>
      <c r="AZ97" s="433"/>
      <c r="BA97" s="433"/>
      <c r="BB97" s="433"/>
      <c r="BC97" s="433"/>
      <c r="BD97" s="466"/>
      <c r="BE97" s="466"/>
      <c r="BF97" s="466"/>
      <c r="BG97" s="466"/>
      <c r="BH97" s="466"/>
      <c r="BI97" s="467"/>
      <c r="BJ97" s="433"/>
      <c r="BK97" s="433"/>
      <c r="BL97" s="466"/>
      <c r="BM97" s="466"/>
      <c r="BN97" s="467"/>
      <c r="BO97" s="433"/>
      <c r="BP97" s="433"/>
      <c r="BQ97" s="467"/>
      <c r="BR97" s="433"/>
      <c r="BS97" s="466"/>
      <c r="BT97" s="432"/>
      <c r="BU97" s="432"/>
      <c r="BV97" s="432"/>
      <c r="BW97" s="434"/>
      <c r="BX97" s="433"/>
      <c r="BY97" s="433"/>
      <c r="BZ97" s="433"/>
      <c r="CA97" s="433"/>
      <c r="CB97" s="433"/>
      <c r="CC97" s="433"/>
      <c r="CD97" s="433"/>
      <c r="CE97" s="433"/>
      <c r="CF97" s="434"/>
      <c r="CG97" s="432"/>
      <c r="CH97" s="432"/>
      <c r="CI97" s="432"/>
      <c r="CJ97" s="395"/>
      <c r="CS97" s="10"/>
      <c r="CT97" s="245"/>
      <c r="CU97" s="245"/>
    </row>
    <row r="98" spans="1:99">
      <c r="F98" s="431"/>
      <c r="G98" s="431"/>
      <c r="H98" s="431"/>
      <c r="I98" s="432"/>
      <c r="J98" s="432"/>
      <c r="K98" s="432"/>
      <c r="L98" s="433"/>
      <c r="M98" s="433"/>
      <c r="N98" s="433"/>
      <c r="O98" s="433"/>
      <c r="P98" s="432"/>
      <c r="Q98" s="432"/>
      <c r="R98" s="433"/>
      <c r="S98" s="432"/>
      <c r="T98" s="432"/>
      <c r="U98" s="433"/>
      <c r="V98" s="433"/>
      <c r="W98" s="432"/>
      <c r="X98" s="432"/>
      <c r="Y98" s="433"/>
      <c r="Z98" s="433"/>
      <c r="AA98" s="432"/>
      <c r="AB98" s="432"/>
      <c r="AC98" s="433"/>
      <c r="AD98" s="433"/>
      <c r="AE98" s="432"/>
      <c r="AF98" s="432"/>
      <c r="AG98" s="433"/>
      <c r="AH98" s="433"/>
      <c r="AI98" s="432"/>
      <c r="AJ98" s="432"/>
      <c r="AK98" s="433"/>
      <c r="AL98" s="433"/>
      <c r="AM98" s="432"/>
      <c r="AN98" s="432"/>
      <c r="AO98" s="433"/>
      <c r="AP98" s="433"/>
      <c r="AQ98" s="433"/>
      <c r="AR98" s="433"/>
      <c r="AS98" s="433"/>
      <c r="AT98" s="433"/>
      <c r="AU98" s="433"/>
      <c r="AV98" s="433"/>
      <c r="AW98" s="433"/>
      <c r="AX98" s="433"/>
      <c r="AY98" s="433"/>
      <c r="AZ98" s="433"/>
      <c r="BA98" s="433"/>
      <c r="BB98" s="433"/>
      <c r="BC98" s="433"/>
      <c r="BD98" s="432"/>
      <c r="BE98" s="432"/>
      <c r="BF98" s="432"/>
      <c r="BG98" s="432"/>
      <c r="BH98" s="432"/>
      <c r="BI98" s="433"/>
      <c r="BJ98" s="433"/>
      <c r="BK98" s="433"/>
      <c r="BL98" s="432"/>
      <c r="BM98" s="432"/>
      <c r="BN98" s="433"/>
      <c r="BO98" s="433"/>
      <c r="BP98" s="433"/>
      <c r="BQ98" s="433"/>
      <c r="BR98" s="433"/>
      <c r="BS98" s="432"/>
      <c r="BT98" s="432"/>
      <c r="BU98" s="432"/>
      <c r="BV98" s="432"/>
      <c r="BW98" s="432"/>
      <c r="BX98" s="433"/>
      <c r="BY98" s="433"/>
      <c r="BZ98" s="433"/>
      <c r="CA98" s="433"/>
      <c r="CB98" s="433"/>
      <c r="CC98" s="433"/>
      <c r="CD98" s="433"/>
      <c r="CE98" s="433"/>
      <c r="CF98" s="432"/>
      <c r="CG98" s="432"/>
      <c r="CH98" s="432"/>
      <c r="CI98" s="432"/>
      <c r="CJ98" s="432"/>
    </row>
    <row r="99" spans="1:99">
      <c r="F99" s="431"/>
      <c r="G99" s="431"/>
      <c r="H99" s="431"/>
      <c r="I99" s="432"/>
      <c r="J99" s="432"/>
      <c r="K99" s="432"/>
      <c r="L99" s="433"/>
      <c r="M99" s="433"/>
      <c r="N99" s="433"/>
      <c r="O99" s="433"/>
      <c r="P99" s="432"/>
      <c r="Q99" s="432"/>
      <c r="R99" s="433"/>
      <c r="S99" s="432"/>
      <c r="T99" s="432"/>
      <c r="U99" s="433"/>
      <c r="V99" s="433"/>
      <c r="W99" s="432"/>
      <c r="X99" s="432"/>
      <c r="Y99" s="433"/>
      <c r="Z99" s="433"/>
      <c r="AA99" s="432"/>
      <c r="AB99" s="432"/>
      <c r="AC99" s="433"/>
      <c r="AD99" s="433"/>
      <c r="AE99" s="432"/>
      <c r="AF99" s="432"/>
      <c r="AG99" s="433"/>
      <c r="AH99" s="433"/>
      <c r="AI99" s="432"/>
      <c r="AJ99" s="432"/>
      <c r="AK99" s="433"/>
      <c r="AL99" s="433"/>
      <c r="AM99" s="432"/>
      <c r="AN99" s="432"/>
      <c r="AO99" s="433"/>
      <c r="AP99" s="433"/>
      <c r="AQ99" s="433"/>
      <c r="AR99" s="433"/>
      <c r="AS99" s="433"/>
      <c r="AT99" s="433"/>
      <c r="AU99" s="433"/>
      <c r="AV99" s="433"/>
      <c r="AW99" s="433"/>
      <c r="AX99" s="433"/>
      <c r="AY99" s="433"/>
      <c r="AZ99" s="433"/>
      <c r="BA99" s="433"/>
      <c r="BB99" s="433"/>
      <c r="BC99" s="433"/>
      <c r="BD99" s="432"/>
      <c r="BE99" s="432"/>
      <c r="BF99" s="432"/>
      <c r="BG99" s="432"/>
      <c r="BH99" s="432"/>
      <c r="BI99" s="433"/>
      <c r="BJ99" s="433"/>
      <c r="BK99" s="433"/>
      <c r="BL99" s="432"/>
      <c r="BM99" s="432"/>
      <c r="BN99" s="433"/>
      <c r="BO99" s="433"/>
      <c r="BP99" s="433"/>
      <c r="BQ99" s="433"/>
      <c r="BR99" s="433"/>
      <c r="BS99" s="432"/>
      <c r="BT99" s="432"/>
      <c r="BU99" s="432"/>
      <c r="BV99" s="432"/>
      <c r="BW99" s="432"/>
      <c r="BX99" s="433"/>
      <c r="BY99" s="433"/>
      <c r="BZ99" s="433"/>
      <c r="CA99" s="433"/>
      <c r="CB99" s="433"/>
      <c r="CC99" s="433"/>
      <c r="CD99" s="433"/>
      <c r="CE99" s="433"/>
      <c r="CF99" s="432"/>
      <c r="CG99" s="432"/>
      <c r="CH99" s="432"/>
      <c r="CI99" s="432"/>
      <c r="CJ99" s="589"/>
      <c r="CK99" s="10"/>
      <c r="CL99" s="10"/>
      <c r="CM99" s="10"/>
      <c r="CN99" s="10"/>
      <c r="CO99" s="10"/>
      <c r="CP99" s="10"/>
      <c r="CQ99" s="10"/>
      <c r="CR99" s="10"/>
      <c r="CS99" s="10"/>
      <c r="CT99" s="245"/>
      <c r="CU99" s="245"/>
    </row>
    <row r="100" spans="1:99">
      <c r="F100" s="431"/>
      <c r="G100" s="431"/>
      <c r="H100" s="431"/>
      <c r="I100" s="431"/>
      <c r="J100" s="431"/>
      <c r="K100" s="431"/>
      <c r="L100" s="431"/>
      <c r="M100" s="431"/>
      <c r="N100" s="431"/>
      <c r="O100" s="431"/>
      <c r="P100" s="431"/>
      <c r="Q100" s="431"/>
      <c r="R100" s="431"/>
      <c r="S100" s="431"/>
      <c r="T100" s="431"/>
      <c r="U100" s="431"/>
      <c r="V100" s="431"/>
      <c r="W100" s="431"/>
      <c r="X100" s="431"/>
      <c r="Y100" s="431"/>
      <c r="Z100" s="431"/>
      <c r="AA100" s="431"/>
      <c r="AB100" s="431"/>
      <c r="AC100" s="431"/>
      <c r="AD100" s="431"/>
      <c r="AE100" s="431"/>
      <c r="AF100" s="431"/>
      <c r="AG100" s="431"/>
      <c r="AH100" s="431"/>
      <c r="AI100" s="431"/>
      <c r="AJ100" s="431"/>
      <c r="AK100" s="431"/>
      <c r="AL100" s="431"/>
      <c r="AM100" s="431"/>
      <c r="AN100" s="431"/>
      <c r="AO100" s="431"/>
      <c r="AP100" s="431"/>
      <c r="AQ100" s="431"/>
      <c r="AR100" s="431"/>
      <c r="AS100" s="431"/>
      <c r="AT100" s="431"/>
      <c r="AU100" s="431"/>
      <c r="AV100" s="431"/>
      <c r="AW100" s="431"/>
      <c r="AX100" s="431"/>
      <c r="AY100" s="431"/>
      <c r="AZ100" s="431"/>
      <c r="BA100" s="431"/>
      <c r="BB100" s="431"/>
      <c r="BC100" s="431"/>
      <c r="BD100" s="431"/>
      <c r="BE100" s="431"/>
      <c r="BF100" s="431"/>
      <c r="BG100" s="431"/>
      <c r="BH100" s="431"/>
      <c r="BI100" s="431"/>
      <c r="BJ100" s="431"/>
      <c r="BK100" s="431"/>
      <c r="BL100" s="431"/>
      <c r="BM100" s="431"/>
      <c r="BN100" s="431"/>
      <c r="BO100" s="431"/>
      <c r="BP100" s="431"/>
      <c r="BQ100" s="431"/>
      <c r="BR100" s="431"/>
      <c r="BS100" s="431"/>
      <c r="BT100" s="432"/>
      <c r="BU100" s="432"/>
      <c r="BV100" s="432"/>
      <c r="BW100" s="432"/>
      <c r="BX100" s="431"/>
      <c r="BY100" s="431"/>
      <c r="BZ100" s="431"/>
      <c r="CA100" s="431"/>
      <c r="CB100" s="431"/>
      <c r="CC100" s="431"/>
      <c r="CD100" s="431"/>
      <c r="CE100" s="431"/>
      <c r="CF100" s="432"/>
      <c r="CG100" s="432"/>
      <c r="CH100" s="432"/>
      <c r="CI100" s="432"/>
      <c r="CJ100" s="432"/>
    </row>
    <row r="101" spans="1:99">
      <c r="F101" s="431"/>
      <c r="G101" s="431"/>
      <c r="H101" s="431"/>
      <c r="I101" s="432"/>
      <c r="J101" s="432"/>
      <c r="K101" s="432"/>
      <c r="L101" s="433"/>
      <c r="M101" s="433"/>
      <c r="N101" s="433"/>
      <c r="O101" s="433"/>
      <c r="P101" s="432"/>
      <c r="Q101" s="432"/>
      <c r="R101" s="433"/>
      <c r="S101" s="432"/>
      <c r="T101" s="432"/>
      <c r="U101" s="433"/>
      <c r="V101" s="433"/>
      <c r="W101" s="432"/>
      <c r="X101" s="432"/>
      <c r="Y101" s="433"/>
      <c r="Z101" s="433"/>
      <c r="AA101" s="432"/>
      <c r="AB101" s="432"/>
      <c r="AC101" s="433"/>
      <c r="AD101" s="433"/>
      <c r="AE101" s="432"/>
      <c r="AF101" s="432"/>
      <c r="AG101" s="433"/>
      <c r="AH101" s="433"/>
      <c r="AI101" s="432"/>
      <c r="AJ101" s="432"/>
      <c r="AK101" s="433"/>
      <c r="AL101" s="433"/>
      <c r="AM101" s="432"/>
      <c r="AN101" s="432"/>
      <c r="AO101" s="433"/>
      <c r="AP101" s="433"/>
      <c r="AQ101" s="433"/>
      <c r="AR101" s="433"/>
      <c r="AS101" s="433"/>
      <c r="AT101" s="433"/>
      <c r="AU101" s="433"/>
      <c r="AV101" s="433"/>
      <c r="AW101" s="433"/>
      <c r="AX101" s="433"/>
      <c r="AY101" s="433"/>
      <c r="AZ101" s="433"/>
      <c r="BA101" s="433"/>
      <c r="BB101" s="433"/>
      <c r="BC101" s="433"/>
      <c r="BD101" s="432"/>
      <c r="BE101" s="432"/>
      <c r="BF101" s="432"/>
      <c r="BG101" s="432"/>
      <c r="BH101" s="432"/>
      <c r="BI101" s="433"/>
      <c r="BJ101" s="433"/>
      <c r="BK101" s="433"/>
      <c r="BL101" s="432"/>
      <c r="BM101" s="432"/>
      <c r="BN101" s="433"/>
      <c r="BO101" s="433"/>
      <c r="BP101" s="433"/>
      <c r="BQ101" s="432"/>
      <c r="BR101" s="433"/>
      <c r="BS101" s="432"/>
      <c r="BT101" s="432"/>
      <c r="BU101" s="432"/>
      <c r="BV101" s="432"/>
      <c r="BW101" s="432"/>
      <c r="BX101" s="433"/>
      <c r="BY101" s="433"/>
      <c r="BZ101" s="433"/>
      <c r="CA101" s="433"/>
      <c r="CB101" s="433"/>
      <c r="CC101" s="433"/>
      <c r="CD101" s="433"/>
      <c r="CE101" s="433"/>
      <c r="CF101" s="432"/>
      <c r="CG101" s="432"/>
      <c r="CH101" s="432"/>
      <c r="CI101" s="432"/>
      <c r="CJ101" s="432"/>
    </row>
    <row r="102" spans="1:99">
      <c r="CK102" s="10"/>
      <c r="CL102" s="10"/>
      <c r="CM102" s="10"/>
      <c r="CN102" s="10"/>
      <c r="CO102" s="10"/>
      <c r="CP102" s="10"/>
      <c r="CQ102" s="10"/>
      <c r="CR102" s="10"/>
      <c r="CS102" s="10"/>
      <c r="CT102" s="245"/>
      <c r="CU102" s="245"/>
    </row>
    <row r="103" spans="1:99"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93"/>
      <c r="BU103" s="93"/>
      <c r="BX103" s="10"/>
      <c r="BY103" s="10"/>
      <c r="BZ103" s="10"/>
      <c r="CA103" s="10"/>
      <c r="CB103" s="10"/>
      <c r="CC103" s="10"/>
      <c r="CD103" s="10"/>
      <c r="CE103" s="10"/>
    </row>
  </sheetData>
  <sheetProtection password="8B2B" sheet="1" objects="1" scenarios="1" formatCells="0" formatColumns="0" formatRows="0"/>
  <mergeCells count="2">
    <mergeCell ref="E5:E6"/>
    <mergeCell ref="A50:A58"/>
  </mergeCells>
  <phoneticPr fontId="0" type="noConversion"/>
  <printOptions headings="1"/>
  <pageMargins left="0.35433070866141736" right="3.937007874015748E-2" top="0.27559055118110237" bottom="0.31496062992125984" header="0.19685039370078741" footer="0.15748031496062992"/>
  <pageSetup paperSize="8" scale="55" fitToWidth="0" orientation="landscape" cellComments="asDisplayed" r:id="rId1"/>
  <headerFooter alignWithMargins="0">
    <oddFooter>&amp;C&amp;8&amp;P / &amp;N&amp;R&amp;8&amp;D/&amp;F/thr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1">
    <tabColor rgb="FFFF0000"/>
    <pageSetUpPr fitToPage="1"/>
  </sheetPr>
  <dimension ref="A1:DA136"/>
  <sheetViews>
    <sheetView showGridLines="0" zoomScale="75" zoomScaleNormal="75" workbookViewId="0">
      <pane xSplit="3" ySplit="10" topLeftCell="I11" activePane="bottomRight" state="frozen"/>
      <selection activeCell="E39" sqref="E39"/>
      <selection pane="topRight" activeCell="E39" sqref="E39"/>
      <selection pane="bottomLeft" activeCell="E39" sqref="E39"/>
      <selection pane="bottomRight" activeCell="I13" sqref="I13"/>
    </sheetView>
  </sheetViews>
  <sheetFormatPr baseColWidth="10" defaultColWidth="11.42578125" defaultRowHeight="12.75" outlineLevelCol="1"/>
  <cols>
    <col min="1" max="1" width="5.7109375" style="180" customWidth="1"/>
    <col min="2" max="2" width="57.28515625" style="40" customWidth="1"/>
    <col min="3" max="3" width="25.5703125" style="36" customWidth="1"/>
    <col min="9" max="11" width="14.5703125" style="147" customWidth="1" outlineLevel="1"/>
    <col min="12" max="15" width="14.5703125" style="7" customWidth="1" outlineLevel="1"/>
    <col min="16" max="17" width="14.5703125" style="147" customWidth="1" outlineLevel="1"/>
    <col min="18" max="18" width="14.5703125" style="7" customWidth="1"/>
    <col min="19" max="20" width="14.5703125" style="147" customWidth="1" outlineLevel="1"/>
    <col min="21" max="22" width="14.5703125" style="7" customWidth="1" outlineLevel="1"/>
    <col min="23" max="24" width="14.5703125" style="147" customWidth="1" outlineLevel="1"/>
    <col min="25" max="26" width="14.5703125" style="7" customWidth="1" outlineLevel="1"/>
    <col min="27" max="28" width="14.5703125" style="147" customWidth="1" outlineLevel="1"/>
    <col min="29" max="30" width="14.5703125" style="7" customWidth="1" outlineLevel="1"/>
    <col min="31" max="32" width="14.5703125" style="147" customWidth="1" outlineLevel="1"/>
    <col min="33" max="34" width="14.5703125" style="7" customWidth="1" outlineLevel="1"/>
    <col min="35" max="36" width="14.5703125" style="147" customWidth="1" outlineLevel="1"/>
    <col min="37" max="38" width="14.5703125" style="7" customWidth="1" outlineLevel="1"/>
    <col min="39" max="57" width="14.5703125" style="147" customWidth="1" outlineLevel="1"/>
    <col min="58" max="58" width="14.5703125" style="147" customWidth="1"/>
    <col min="59" max="60" width="14.5703125" style="147" customWidth="1" outlineLevel="1"/>
    <col min="61" max="61" width="14.5703125" style="7" customWidth="1" outlineLevel="1"/>
    <col min="62" max="65" width="14.5703125" style="147" customWidth="1" outlineLevel="1"/>
    <col min="66" max="66" width="14.5703125" style="7" customWidth="1" outlineLevel="1"/>
    <col min="67" max="70" width="14.5703125" style="147" customWidth="1" outlineLevel="1"/>
    <col min="71" max="74" width="14.5703125" style="147" customWidth="1"/>
    <col min="75" max="75" width="14.5703125" style="102" customWidth="1"/>
    <col min="76" max="82" width="14.5703125" style="147" customWidth="1" outlineLevel="1"/>
    <col min="83" max="85" width="14.5703125" style="147" customWidth="1"/>
    <col min="86" max="86" width="15.140625" style="147" customWidth="1"/>
    <col min="87" max="87" width="16.85546875" style="147" customWidth="1"/>
    <col min="89" max="99" width="14.5703125" style="147" customWidth="1"/>
    <col min="100" max="101" width="14.5703125" style="180" customWidth="1"/>
    <col min="102" max="102" width="15.42578125" style="777" bestFit="1" customWidth="1"/>
    <col min="103" max="16384" width="11.42578125" style="180"/>
  </cols>
  <sheetData>
    <row r="8" spans="1:102" ht="18">
      <c r="A8" s="1365">
        <f>'ITAR_K Gesamtansicht'!C3</f>
        <v>0</v>
      </c>
      <c r="B8" s="1365"/>
      <c r="C8" s="676"/>
      <c r="I8" s="1167"/>
      <c r="J8" s="1167"/>
      <c r="K8" s="1167"/>
      <c r="L8" s="1167"/>
      <c r="M8" s="1167"/>
      <c r="N8" s="1167"/>
      <c r="O8" s="1167"/>
      <c r="P8" s="1167"/>
      <c r="Q8" s="1167"/>
      <c r="R8" s="1167"/>
      <c r="S8" s="1167"/>
      <c r="T8" s="1167"/>
      <c r="U8" s="1167"/>
      <c r="V8" s="1167"/>
      <c r="W8" s="1167"/>
      <c r="X8" s="1167"/>
      <c r="Y8" s="1167"/>
      <c r="Z8" s="1167"/>
      <c r="AA8" s="1167"/>
      <c r="AB8" s="1167"/>
      <c r="AC8" s="1167"/>
      <c r="AD8" s="1167"/>
      <c r="AE8" s="1167"/>
      <c r="AF8" s="1167"/>
      <c r="AG8" s="1167"/>
      <c r="AH8" s="1167"/>
      <c r="AI8" s="1167"/>
      <c r="AJ8" s="1167"/>
      <c r="AK8" s="1167"/>
      <c r="AL8" s="1167"/>
      <c r="AM8" s="1167"/>
      <c r="AN8" s="1167"/>
      <c r="AO8" s="1167"/>
      <c r="AP8" s="1167"/>
      <c r="AQ8" s="1167"/>
      <c r="AR8" s="1167"/>
      <c r="AS8" s="1167"/>
      <c r="AT8" s="1167"/>
      <c r="AU8" s="1167"/>
      <c r="AV8" s="1167"/>
      <c r="AW8" s="1167"/>
      <c r="AX8" s="1167"/>
      <c r="AY8" s="1167"/>
      <c r="AZ8" s="1167"/>
      <c r="BA8" s="1167"/>
      <c r="BB8" s="1167"/>
      <c r="BC8" s="1167"/>
      <c r="BD8" s="1167"/>
      <c r="BE8" s="1167"/>
      <c r="BF8" s="1168"/>
      <c r="BG8" s="1167"/>
      <c r="BH8" s="1167"/>
      <c r="BI8" s="1167"/>
      <c r="BJ8" s="1167"/>
      <c r="BK8" s="1167"/>
      <c r="BL8" s="1167"/>
      <c r="BM8" s="1167"/>
      <c r="BN8" s="1167"/>
      <c r="BO8" s="1167"/>
      <c r="BP8" s="1167"/>
      <c r="BQ8" s="1167"/>
      <c r="BR8" s="1167"/>
      <c r="BS8" s="1167"/>
      <c r="BT8" s="1168"/>
      <c r="BU8" s="1168"/>
      <c r="BV8" s="1168"/>
      <c r="BW8" s="1169"/>
      <c r="BX8" s="1167"/>
      <c r="BY8" s="1167"/>
      <c r="BZ8" s="1167"/>
      <c r="CA8" s="1167"/>
      <c r="CB8" s="1167"/>
      <c r="CC8" s="1167"/>
      <c r="CD8" s="1167"/>
      <c r="CE8" s="1167"/>
      <c r="CF8" s="1168"/>
      <c r="CG8" s="1168"/>
      <c r="CH8" s="1168"/>
      <c r="CI8" s="1168"/>
      <c r="CK8" s="1168"/>
      <c r="CL8" s="1168"/>
      <c r="CM8" s="1168"/>
      <c r="CN8" s="1168"/>
      <c r="CO8" s="1168"/>
      <c r="CP8" s="1168"/>
      <c r="CQ8" s="1168"/>
      <c r="CR8" s="1168"/>
      <c r="CS8" s="1168"/>
      <c r="CT8" s="1168"/>
      <c r="CU8" s="1168"/>
      <c r="CV8" s="1170"/>
      <c r="CW8" s="1170"/>
      <c r="CX8" s="1171"/>
    </row>
    <row r="9" spans="1:102" ht="18.75" customHeight="1" thickBot="1">
      <c r="A9" s="31" t="s">
        <v>87</v>
      </c>
      <c r="I9" s="1374" t="s">
        <v>401</v>
      </c>
      <c r="J9" s="1375"/>
      <c r="K9" s="1375"/>
      <c r="L9" s="1375"/>
      <c r="M9" s="1375"/>
      <c r="N9" s="1375"/>
      <c r="O9" s="1375"/>
      <c r="P9" s="1375"/>
      <c r="Q9" s="1375"/>
      <c r="R9" s="1376"/>
      <c r="S9" s="1370" t="s">
        <v>391</v>
      </c>
      <c r="T9" s="1371"/>
      <c r="U9" s="1371"/>
      <c r="V9" s="1371"/>
      <c r="W9" s="1371"/>
      <c r="X9" s="1371"/>
      <c r="Y9" s="1371"/>
      <c r="Z9" s="1371"/>
      <c r="AA9" s="1371"/>
      <c r="AB9" s="1371"/>
      <c r="AC9" s="1371"/>
      <c r="AD9" s="1371"/>
      <c r="AE9" s="1371"/>
      <c r="AF9" s="1371"/>
      <c r="AG9" s="1371"/>
      <c r="AH9" s="1371"/>
      <c r="AI9" s="1371"/>
      <c r="AJ9" s="1371"/>
      <c r="AK9" s="1371"/>
      <c r="AL9" s="1372"/>
      <c r="AM9" s="1370" t="s">
        <v>613</v>
      </c>
      <c r="AN9" s="1371"/>
      <c r="AO9" s="1371"/>
      <c r="AP9" s="1372"/>
      <c r="AQ9" s="1370" t="s">
        <v>1410</v>
      </c>
      <c r="AR9" s="1371"/>
      <c r="AS9" s="1371"/>
      <c r="AT9" s="1372"/>
      <c r="AU9" s="1370" t="s">
        <v>1378</v>
      </c>
      <c r="AV9" s="1371"/>
      <c r="AW9" s="1371"/>
      <c r="AX9" s="1372"/>
      <c r="AY9" s="1370" t="s">
        <v>1383</v>
      </c>
      <c r="AZ9" s="1371"/>
      <c r="BA9" s="1371"/>
      <c r="BB9" s="1372"/>
      <c r="BC9" s="1366" t="s">
        <v>399</v>
      </c>
      <c r="BD9" s="1368"/>
      <c r="BE9" s="1367"/>
      <c r="BF9" s="1172" t="s">
        <v>402</v>
      </c>
      <c r="BG9" s="1369" t="s">
        <v>369</v>
      </c>
      <c r="BH9" s="1369"/>
      <c r="BI9" s="1369"/>
      <c r="BJ9" s="1369"/>
      <c r="BK9" s="1369"/>
      <c r="BL9" s="1369" t="s">
        <v>370</v>
      </c>
      <c r="BM9" s="1369"/>
      <c r="BN9" s="1369"/>
      <c r="BO9" s="1369"/>
      <c r="BP9" s="1369"/>
      <c r="BQ9" s="1366" t="s">
        <v>400</v>
      </c>
      <c r="BR9" s="1367"/>
      <c r="BS9" s="1173" t="s">
        <v>403</v>
      </c>
      <c r="BT9" s="1174"/>
      <c r="BU9" s="1174"/>
      <c r="BV9" s="1174"/>
      <c r="BW9" s="1175"/>
      <c r="BX9" s="1366" t="s">
        <v>396</v>
      </c>
      <c r="BY9" s="1368"/>
      <c r="BZ9" s="1368"/>
      <c r="CA9" s="1368"/>
      <c r="CB9" s="1368"/>
      <c r="CC9" s="1368"/>
      <c r="CD9" s="1367"/>
      <c r="CE9" s="1176" t="s">
        <v>404</v>
      </c>
      <c r="CF9" s="1168"/>
      <c r="CG9" s="1168"/>
      <c r="CH9" s="1168"/>
      <c r="CI9" s="1168"/>
      <c r="CK9" s="1168"/>
      <c r="CL9" s="1168"/>
      <c r="CM9" s="1168"/>
      <c r="CN9" s="1168"/>
      <c r="CO9" s="1168"/>
      <c r="CP9" s="1168"/>
      <c r="CQ9" s="1168"/>
      <c r="CR9" s="1168"/>
      <c r="CS9" s="1168"/>
      <c r="CT9" s="1168"/>
      <c r="CU9" s="1168"/>
      <c r="CV9" s="1170"/>
      <c r="CW9" s="1170"/>
      <c r="CX9" s="1171"/>
    </row>
    <row r="10" spans="1:102" s="74" customFormat="1" ht="57" customHeight="1" thickBot="1">
      <c r="A10" s="117"/>
      <c r="B10" s="745" t="s">
        <v>1406</v>
      </c>
      <c r="C10" s="99"/>
      <c r="I10" s="1177" t="s">
        <v>595</v>
      </c>
      <c r="J10" s="1177" t="s">
        <v>434</v>
      </c>
      <c r="K10" s="1177" t="s">
        <v>673</v>
      </c>
      <c r="L10" s="1177" t="s">
        <v>448</v>
      </c>
      <c r="M10" s="1177" t="s">
        <v>444</v>
      </c>
      <c r="N10" s="1177" t="s">
        <v>674</v>
      </c>
      <c r="O10" s="1177" t="s">
        <v>445</v>
      </c>
      <c r="P10" s="1177" t="s">
        <v>539</v>
      </c>
      <c r="Q10" s="1177" t="s">
        <v>619</v>
      </c>
      <c r="R10" s="1178" t="s">
        <v>157</v>
      </c>
      <c r="S10" s="1177" t="s">
        <v>449</v>
      </c>
      <c r="T10" s="1177" t="s">
        <v>380</v>
      </c>
      <c r="U10" s="1177" t="s">
        <v>381</v>
      </c>
      <c r="V10" s="1177" t="s">
        <v>379</v>
      </c>
      <c r="W10" s="1177" t="s">
        <v>607</v>
      </c>
      <c r="X10" s="1177" t="s">
        <v>608</v>
      </c>
      <c r="Y10" s="1177" t="s">
        <v>609</v>
      </c>
      <c r="Z10" s="1177" t="s">
        <v>610</v>
      </c>
      <c r="AA10" s="1177" t="s">
        <v>450</v>
      </c>
      <c r="AB10" s="1177" t="s">
        <v>388</v>
      </c>
      <c r="AC10" s="1177" t="s">
        <v>389</v>
      </c>
      <c r="AD10" s="1177" t="s">
        <v>390</v>
      </c>
      <c r="AE10" s="1177" t="s">
        <v>451</v>
      </c>
      <c r="AF10" s="1177" t="s">
        <v>382</v>
      </c>
      <c r="AG10" s="1177" t="s">
        <v>410</v>
      </c>
      <c r="AH10" s="1177" t="s">
        <v>383</v>
      </c>
      <c r="AI10" s="1177" t="s">
        <v>452</v>
      </c>
      <c r="AJ10" s="1177" t="s">
        <v>384</v>
      </c>
      <c r="AK10" s="1177" t="s">
        <v>446</v>
      </c>
      <c r="AL10" s="1177" t="s">
        <v>447</v>
      </c>
      <c r="AM10" s="1177" t="s">
        <v>611</v>
      </c>
      <c r="AN10" s="1177" t="s">
        <v>612</v>
      </c>
      <c r="AO10" s="1177" t="s">
        <v>1387</v>
      </c>
      <c r="AP10" s="1177" t="s">
        <v>1376</v>
      </c>
      <c r="AQ10" s="1177" t="s">
        <v>1391</v>
      </c>
      <c r="AR10" s="1177" t="s">
        <v>1390</v>
      </c>
      <c r="AS10" s="1177" t="s">
        <v>1392</v>
      </c>
      <c r="AT10" s="1177" t="s">
        <v>1393</v>
      </c>
      <c r="AU10" s="1177" t="s">
        <v>1377</v>
      </c>
      <c r="AV10" s="1177" t="s">
        <v>1373</v>
      </c>
      <c r="AW10" s="1177" t="s">
        <v>1374</v>
      </c>
      <c r="AX10" s="1177" t="s">
        <v>1375</v>
      </c>
      <c r="AY10" s="1177" t="s">
        <v>1379</v>
      </c>
      <c r="AZ10" s="1177" t="s">
        <v>1380</v>
      </c>
      <c r="BA10" s="1177" t="s">
        <v>1381</v>
      </c>
      <c r="BB10" s="1177" t="s">
        <v>1382</v>
      </c>
      <c r="BC10" s="1179" t="s">
        <v>672</v>
      </c>
      <c r="BD10" s="1180" t="s">
        <v>536</v>
      </c>
      <c r="BE10" s="1180" t="s">
        <v>537</v>
      </c>
      <c r="BF10" s="1181" t="s">
        <v>387</v>
      </c>
      <c r="BG10" s="1180" t="s">
        <v>453</v>
      </c>
      <c r="BH10" s="1180" t="s">
        <v>435</v>
      </c>
      <c r="BI10" s="1180" t="s">
        <v>454</v>
      </c>
      <c r="BJ10" s="1180" t="s">
        <v>436</v>
      </c>
      <c r="BK10" s="1180" t="s">
        <v>460</v>
      </c>
      <c r="BL10" s="1180" t="s">
        <v>455</v>
      </c>
      <c r="BM10" s="1180" t="s">
        <v>456</v>
      </c>
      <c r="BN10" s="1180" t="s">
        <v>457</v>
      </c>
      <c r="BO10" s="1180" t="s">
        <v>458</v>
      </c>
      <c r="BP10" s="1180" t="s">
        <v>459</v>
      </c>
      <c r="BQ10" s="1180" t="s">
        <v>377</v>
      </c>
      <c r="BR10" s="1180" t="s">
        <v>378</v>
      </c>
      <c r="BS10" s="1178" t="s">
        <v>376</v>
      </c>
      <c r="BT10" s="1182" t="s">
        <v>1335</v>
      </c>
      <c r="BU10" s="1182" t="s">
        <v>1336</v>
      </c>
      <c r="BV10" s="1183" t="s">
        <v>1337</v>
      </c>
      <c r="BW10" s="1184" t="s">
        <v>1338</v>
      </c>
      <c r="BX10" s="1185" t="s">
        <v>81</v>
      </c>
      <c r="BY10" s="1185" t="s">
        <v>417</v>
      </c>
      <c r="BZ10" s="1185" t="s">
        <v>392</v>
      </c>
      <c r="CA10" s="1185" t="s">
        <v>393</v>
      </c>
      <c r="CB10" s="1185" t="s">
        <v>397</v>
      </c>
      <c r="CC10" s="1185" t="s">
        <v>394</v>
      </c>
      <c r="CD10" s="1185" t="s">
        <v>395</v>
      </c>
      <c r="CE10" s="1178" t="s">
        <v>398</v>
      </c>
      <c r="CF10" s="1182" t="s">
        <v>538</v>
      </c>
      <c r="CG10" s="1182" t="s">
        <v>90</v>
      </c>
      <c r="CH10" s="1182" t="s">
        <v>171</v>
      </c>
      <c r="CI10" s="1182" t="s">
        <v>84</v>
      </c>
      <c r="CK10" s="1187" t="s">
        <v>437</v>
      </c>
      <c r="CL10" s="1188" t="s">
        <v>438</v>
      </c>
      <c r="CM10" s="1189" t="s">
        <v>439</v>
      </c>
      <c r="CN10" s="1190" t="s">
        <v>440</v>
      </c>
      <c r="CO10" s="1191" t="s">
        <v>11</v>
      </c>
      <c r="CP10" s="1192" t="s">
        <v>441</v>
      </c>
      <c r="CQ10" s="1193" t="s">
        <v>442</v>
      </c>
      <c r="CR10" s="1194" t="s">
        <v>443</v>
      </c>
      <c r="CS10" s="1195" t="s">
        <v>78</v>
      </c>
      <c r="CT10" s="1195" t="s">
        <v>68</v>
      </c>
      <c r="CU10" s="1195" t="s">
        <v>168</v>
      </c>
      <c r="CV10" s="1196" t="s">
        <v>67</v>
      </c>
      <c r="CW10" s="1197" t="s">
        <v>2051</v>
      </c>
      <c r="CX10" s="1198" t="s">
        <v>1340</v>
      </c>
    </row>
    <row r="11" spans="1:102" s="1101" customFormat="1" ht="12">
      <c r="A11" s="1199"/>
      <c r="B11" s="1199"/>
      <c r="C11" s="1200"/>
      <c r="I11" s="1128"/>
      <c r="J11" s="1128"/>
      <c r="K11" s="1128"/>
      <c r="L11" s="1128"/>
      <c r="M11" s="1128"/>
      <c r="N11" s="1128"/>
      <c r="O11" s="1128"/>
      <c r="P11" s="1128"/>
      <c r="Q11" s="1128"/>
      <c r="R11" s="1128"/>
      <c r="S11" s="1128"/>
      <c r="T11" s="1128"/>
      <c r="U11" s="1128"/>
      <c r="V11" s="1128"/>
      <c r="W11" s="1128"/>
      <c r="X11" s="1128"/>
      <c r="Y11" s="1128"/>
      <c r="Z11" s="1128"/>
      <c r="AA11" s="1128"/>
      <c r="AB11" s="1128"/>
      <c r="AC11" s="1128"/>
      <c r="AD11" s="1128"/>
      <c r="AE11" s="1128"/>
      <c r="AF11" s="1128"/>
      <c r="AG11" s="1128"/>
      <c r="AH11" s="1128"/>
      <c r="AI11" s="1128"/>
      <c r="AJ11" s="1128"/>
      <c r="AK11" s="1128"/>
      <c r="AL11" s="1128"/>
      <c r="AM11" s="1128"/>
      <c r="AN11" s="1128"/>
      <c r="AO11" s="1128"/>
      <c r="AP11" s="1128"/>
      <c r="AQ11" s="1128"/>
      <c r="AR11" s="1128"/>
      <c r="AS11" s="1128"/>
      <c r="AT11" s="1128"/>
      <c r="AU11" s="1128"/>
      <c r="AV11" s="1128"/>
      <c r="AW11" s="1128"/>
      <c r="AX11" s="1128"/>
      <c r="AY11" s="1128"/>
      <c r="AZ11" s="1128"/>
      <c r="BA11" s="1128"/>
      <c r="BB11" s="1128"/>
      <c r="BC11" s="1128"/>
      <c r="BD11" s="1128"/>
      <c r="BE11" s="1128"/>
      <c r="BF11" s="1128"/>
      <c r="BG11" s="1128"/>
      <c r="BH11" s="1128"/>
      <c r="BI11" s="1128"/>
      <c r="BJ11" s="1128"/>
      <c r="BK11" s="1128"/>
      <c r="BL11" s="1128"/>
      <c r="BM11" s="1128"/>
      <c r="BN11" s="1128"/>
      <c r="BO11" s="1128"/>
      <c r="BP11" s="1128"/>
      <c r="BQ11" s="1128"/>
      <c r="BR11" s="1128"/>
      <c r="BS11" s="1128"/>
      <c r="BT11" s="1128"/>
      <c r="BU11" s="1128"/>
      <c r="BV11" s="1128"/>
      <c r="BW11" s="1128"/>
      <c r="BX11" s="1128"/>
      <c r="BY11" s="1128"/>
      <c r="BZ11" s="1128"/>
      <c r="CA11" s="1128"/>
      <c r="CB11" s="1128"/>
      <c r="CC11" s="1128"/>
      <c r="CD11" s="1128"/>
      <c r="CE11" s="1128"/>
      <c r="CF11" s="1128"/>
      <c r="CG11" s="1128"/>
      <c r="CH11" s="1128"/>
      <c r="CI11" s="1128"/>
      <c r="CK11" s="1128"/>
      <c r="CL11" s="1128"/>
      <c r="CM11" s="1128"/>
      <c r="CN11" s="1128"/>
      <c r="CO11" s="1128"/>
      <c r="CP11" s="1128"/>
      <c r="CQ11" s="1201"/>
      <c r="CR11" s="1128"/>
      <c r="CS11" s="1202"/>
      <c r="CT11" s="1202"/>
      <c r="CU11" s="1202"/>
      <c r="CX11" s="1102"/>
    </row>
    <row r="12" spans="1:102" s="1144" customFormat="1" ht="12">
      <c r="A12" s="1115" t="s">
        <v>21</v>
      </c>
      <c r="B12" s="1116"/>
      <c r="C12" s="1117"/>
      <c r="I12" s="1119"/>
      <c r="J12" s="1119"/>
      <c r="K12" s="1119"/>
      <c r="L12" s="1119"/>
      <c r="M12" s="1119"/>
      <c r="N12" s="1119"/>
      <c r="O12" s="1119"/>
      <c r="P12" s="1119"/>
      <c r="Q12" s="1119"/>
      <c r="R12" s="1119"/>
      <c r="S12" s="1119"/>
      <c r="T12" s="1119"/>
      <c r="U12" s="1119"/>
      <c r="V12" s="1119"/>
      <c r="W12" s="1119"/>
      <c r="X12" s="1119"/>
      <c r="Y12" s="1119"/>
      <c r="Z12" s="1119"/>
      <c r="AA12" s="1119"/>
      <c r="AB12" s="1119"/>
      <c r="AC12" s="1119"/>
      <c r="AD12" s="1119"/>
      <c r="AE12" s="1119"/>
      <c r="AF12" s="1119"/>
      <c r="AG12" s="1119"/>
      <c r="AH12" s="1119"/>
      <c r="AI12" s="1119"/>
      <c r="AJ12" s="1119"/>
      <c r="AK12" s="1119"/>
      <c r="AL12" s="1119"/>
      <c r="AM12" s="1119"/>
      <c r="AN12" s="1119"/>
      <c r="AO12" s="1119"/>
      <c r="AP12" s="1119"/>
      <c r="AQ12" s="1119"/>
      <c r="AR12" s="1119"/>
      <c r="AS12" s="1119"/>
      <c r="AT12" s="1119"/>
      <c r="AU12" s="1119"/>
      <c r="AV12" s="1119"/>
      <c r="AW12" s="1119"/>
      <c r="AX12" s="1119"/>
      <c r="AY12" s="1119"/>
      <c r="AZ12" s="1119"/>
      <c r="BA12" s="1119"/>
      <c r="BB12" s="1119"/>
      <c r="BC12" s="1119"/>
      <c r="BD12" s="1119"/>
      <c r="BE12" s="1119"/>
      <c r="BF12" s="1119"/>
      <c r="BG12" s="1119"/>
      <c r="BH12" s="1119"/>
      <c r="BI12" s="1119"/>
      <c r="BJ12" s="1119"/>
      <c r="BK12" s="1119"/>
      <c r="BL12" s="1119"/>
      <c r="BM12" s="1119"/>
      <c r="BN12" s="1119"/>
      <c r="BO12" s="1119"/>
      <c r="BP12" s="1119"/>
      <c r="BQ12" s="1119"/>
      <c r="BR12" s="1119"/>
      <c r="BS12" s="1119"/>
      <c r="BT12" s="1119"/>
      <c r="BU12" s="1119"/>
      <c r="BV12" s="1119"/>
      <c r="BW12" s="1119"/>
      <c r="BX12" s="1120"/>
      <c r="BY12" s="1120"/>
      <c r="BZ12" s="1120"/>
      <c r="CA12" s="1120"/>
      <c r="CB12" s="1120"/>
      <c r="CC12" s="1120"/>
      <c r="CD12" s="1120"/>
      <c r="CE12" s="1119"/>
      <c r="CF12" s="1119"/>
      <c r="CG12" s="1119"/>
      <c r="CH12" s="1119"/>
      <c r="CI12" s="1119"/>
      <c r="CK12" s="1119"/>
      <c r="CL12" s="1119"/>
      <c r="CM12" s="1119"/>
      <c r="CN12" s="1119"/>
      <c r="CO12" s="1119"/>
      <c r="CP12" s="1121"/>
      <c r="CQ12" s="1119"/>
      <c r="CR12" s="1203"/>
      <c r="CS12" s="1203"/>
      <c r="CT12" s="1203"/>
      <c r="CU12" s="1203"/>
      <c r="CV12" s="1203"/>
      <c r="CW12" s="1203"/>
      <c r="CX12" s="1204"/>
    </row>
    <row r="13" spans="1:102" s="51" customFormat="1" ht="12">
      <c r="A13" s="50">
        <v>60</v>
      </c>
      <c r="B13" s="46" t="s">
        <v>62</v>
      </c>
      <c r="C13" s="99"/>
      <c r="I13" s="312"/>
      <c r="J13" s="311"/>
      <c r="K13" s="227">
        <f>SUM(I13+J13)</f>
        <v>0</v>
      </c>
      <c r="L13" s="311"/>
      <c r="M13" s="311"/>
      <c r="N13" s="227">
        <f>SUM(L13+M13)</f>
        <v>0</v>
      </c>
      <c r="O13" s="311"/>
      <c r="P13" s="312"/>
      <c r="Q13" s="312"/>
      <c r="R13" s="226">
        <f>K13+N13+SUM(O13:Q13)</f>
        <v>0</v>
      </c>
      <c r="S13" s="312"/>
      <c r="T13" s="311"/>
      <c r="U13" s="311"/>
      <c r="V13" s="311"/>
      <c r="W13" s="312"/>
      <c r="X13" s="311"/>
      <c r="Y13" s="311"/>
      <c r="Z13" s="311"/>
      <c r="AA13" s="312"/>
      <c r="AB13" s="311"/>
      <c r="AC13" s="311"/>
      <c r="AD13" s="311"/>
      <c r="AE13" s="312"/>
      <c r="AF13" s="311"/>
      <c r="AG13" s="311"/>
      <c r="AH13" s="311"/>
      <c r="AI13" s="312"/>
      <c r="AJ13" s="311"/>
      <c r="AK13" s="311"/>
      <c r="AL13" s="311"/>
      <c r="AM13" s="312"/>
      <c r="AN13" s="311"/>
      <c r="AO13" s="312"/>
      <c r="AP13" s="311"/>
      <c r="AQ13" s="311"/>
      <c r="AR13" s="311"/>
      <c r="AS13" s="311"/>
      <c r="AT13" s="311"/>
      <c r="AU13" s="1079"/>
      <c r="AV13" s="311"/>
      <c r="AW13" s="311"/>
      <c r="AX13" s="311"/>
      <c r="AY13" s="311"/>
      <c r="AZ13" s="311"/>
      <c r="BA13" s="311"/>
      <c r="BB13" s="311"/>
      <c r="BC13" s="311"/>
      <c r="BD13" s="312"/>
      <c r="BE13" s="311"/>
      <c r="BF13" s="227">
        <f t="shared" ref="BF13:BF21" si="0">SUM(S13:BE13)</f>
        <v>0</v>
      </c>
      <c r="BG13" s="312"/>
      <c r="BH13" s="311"/>
      <c r="BI13" s="311"/>
      <c r="BJ13" s="311"/>
      <c r="BK13" s="311"/>
      <c r="BL13" s="312"/>
      <c r="BM13" s="311"/>
      <c r="BN13" s="311"/>
      <c r="BO13" s="311"/>
      <c r="BP13" s="311"/>
      <c r="BQ13" s="312"/>
      <c r="BR13" s="311"/>
      <c r="BS13" s="227">
        <f t="shared" ref="BS13:BS21" si="1">SUM(BG13:BR13)</f>
        <v>0</v>
      </c>
      <c r="BT13" s="311"/>
      <c r="BU13" s="311"/>
      <c r="BV13" s="311"/>
      <c r="BW13" s="57">
        <f>R13+BF13+BS13+BT13+BU13+BV13</f>
        <v>0</v>
      </c>
      <c r="BX13" s="311"/>
      <c r="BY13" s="311"/>
      <c r="BZ13" s="311"/>
      <c r="CA13" s="311"/>
      <c r="CB13" s="311"/>
      <c r="CC13" s="311"/>
      <c r="CD13" s="311"/>
      <c r="CE13" s="227">
        <f>SUM(BX13:CD13)</f>
        <v>0</v>
      </c>
      <c r="CF13" s="1081"/>
      <c r="CG13" s="1081"/>
      <c r="CH13" s="57">
        <f t="shared" ref="CH13:CH20" si="2">SUM(CK13:CV13)</f>
        <v>0</v>
      </c>
      <c r="CI13" s="57">
        <f>BW13+CE13+CF13+CG13+CH13</f>
        <v>0</v>
      </c>
      <c r="CK13" s="1081"/>
      <c r="CL13" s="1081"/>
      <c r="CM13" s="1081"/>
      <c r="CN13" s="1081"/>
      <c r="CO13" s="1081"/>
      <c r="CP13" s="1081"/>
      <c r="CQ13" s="1081"/>
      <c r="CR13" s="1082"/>
      <c r="CS13" s="1082"/>
      <c r="CT13" s="1082"/>
      <c r="CU13" s="1082"/>
      <c r="CV13" s="1083"/>
      <c r="CW13" s="91"/>
      <c r="CX13" s="779"/>
    </row>
    <row r="14" spans="1:102" s="51" customFormat="1" ht="12">
      <c r="A14" s="50">
        <v>61</v>
      </c>
      <c r="B14" s="46" t="s">
        <v>22</v>
      </c>
      <c r="C14" s="99"/>
      <c r="I14" s="313"/>
      <c r="J14" s="312"/>
      <c r="K14" s="227">
        <f t="shared" ref="K14:K21" si="3">SUM(I14+J14)</f>
        <v>0</v>
      </c>
      <c r="L14" s="313"/>
      <c r="M14" s="312"/>
      <c r="N14" s="227">
        <f t="shared" ref="N14:N19" si="4">SUM(L14+M14)</f>
        <v>0</v>
      </c>
      <c r="O14" s="312"/>
      <c r="P14" s="313"/>
      <c r="Q14" s="312"/>
      <c r="R14" s="226">
        <f t="shared" ref="R14:R19" si="5">K14+N14+SUM(O14:Q14)</f>
        <v>0</v>
      </c>
      <c r="S14" s="313"/>
      <c r="T14" s="312"/>
      <c r="U14" s="313"/>
      <c r="V14" s="312"/>
      <c r="W14" s="313"/>
      <c r="X14" s="312"/>
      <c r="Y14" s="313"/>
      <c r="Z14" s="312"/>
      <c r="AA14" s="313"/>
      <c r="AB14" s="312"/>
      <c r="AC14" s="313"/>
      <c r="AD14" s="312"/>
      <c r="AE14" s="313"/>
      <c r="AF14" s="312"/>
      <c r="AG14" s="313"/>
      <c r="AH14" s="312"/>
      <c r="AI14" s="313"/>
      <c r="AJ14" s="312"/>
      <c r="AK14" s="313"/>
      <c r="AL14" s="312"/>
      <c r="AM14" s="313"/>
      <c r="AN14" s="312"/>
      <c r="AO14" s="313"/>
      <c r="AP14" s="312"/>
      <c r="AQ14" s="312"/>
      <c r="AR14" s="312"/>
      <c r="AS14" s="312"/>
      <c r="AT14" s="312"/>
      <c r="AU14" s="313"/>
      <c r="AV14" s="312"/>
      <c r="AW14" s="313"/>
      <c r="AX14" s="311"/>
      <c r="AY14" s="313"/>
      <c r="AZ14" s="312"/>
      <c r="BA14" s="313"/>
      <c r="BB14" s="312"/>
      <c r="BC14" s="312"/>
      <c r="BD14" s="313"/>
      <c r="BE14" s="312"/>
      <c r="BF14" s="226">
        <f t="shared" si="0"/>
        <v>0</v>
      </c>
      <c r="BG14" s="313"/>
      <c r="BH14" s="312"/>
      <c r="BI14" s="313"/>
      <c r="BJ14" s="312"/>
      <c r="BK14" s="312"/>
      <c r="BL14" s="313"/>
      <c r="BM14" s="312"/>
      <c r="BN14" s="313"/>
      <c r="BO14" s="312"/>
      <c r="BP14" s="312"/>
      <c r="BQ14" s="313"/>
      <c r="BR14" s="312"/>
      <c r="BS14" s="227">
        <f t="shared" si="1"/>
        <v>0</v>
      </c>
      <c r="BT14" s="312"/>
      <c r="BU14" s="313"/>
      <c r="BV14" s="313"/>
      <c r="BW14" s="57">
        <f t="shared" ref="BW14:BW20" si="6">R14+BF14+BS14+BT14+BU14+BV14</f>
        <v>0</v>
      </c>
      <c r="BX14" s="312"/>
      <c r="BY14" s="312"/>
      <c r="BZ14" s="312"/>
      <c r="CA14" s="312"/>
      <c r="CB14" s="312"/>
      <c r="CC14" s="312"/>
      <c r="CD14" s="312"/>
      <c r="CE14" s="226">
        <f t="shared" ref="CE14:CE21" si="7">SUM(BX14:CD14)</f>
        <v>0</v>
      </c>
      <c r="CF14" s="313"/>
      <c r="CG14" s="313"/>
      <c r="CH14" s="57">
        <f t="shared" si="2"/>
        <v>0</v>
      </c>
      <c r="CI14" s="57">
        <f t="shared" ref="CI14:CI21" si="8">BW14+CE14+CF14+CG14+CH14</f>
        <v>0</v>
      </c>
      <c r="CK14" s="312"/>
      <c r="CL14" s="313"/>
      <c r="CM14" s="313"/>
      <c r="CN14" s="313"/>
      <c r="CO14" s="313"/>
      <c r="CP14" s="312"/>
      <c r="CQ14" s="313"/>
      <c r="CR14" s="312"/>
      <c r="CS14" s="1084"/>
      <c r="CT14" s="1084"/>
      <c r="CU14" s="1084"/>
      <c r="CV14" s="1085"/>
      <c r="CW14" s="91"/>
      <c r="CX14" s="779"/>
    </row>
    <row r="15" spans="1:102" s="51" customFormat="1" ht="12">
      <c r="A15" s="50">
        <v>62</v>
      </c>
      <c r="B15" s="46" t="s">
        <v>1474</v>
      </c>
      <c r="C15" s="99"/>
      <c r="I15" s="313"/>
      <c r="J15" s="312"/>
      <c r="K15" s="227">
        <f t="shared" si="3"/>
        <v>0</v>
      </c>
      <c r="L15" s="313"/>
      <c r="M15" s="312"/>
      <c r="N15" s="227">
        <f t="shared" si="4"/>
        <v>0</v>
      </c>
      <c r="O15" s="312"/>
      <c r="P15" s="313"/>
      <c r="Q15" s="312"/>
      <c r="R15" s="226">
        <f t="shared" si="5"/>
        <v>0</v>
      </c>
      <c r="S15" s="313"/>
      <c r="T15" s="312"/>
      <c r="U15" s="313"/>
      <c r="V15" s="312"/>
      <c r="W15" s="313"/>
      <c r="X15" s="312"/>
      <c r="Y15" s="313"/>
      <c r="Z15" s="312"/>
      <c r="AA15" s="313"/>
      <c r="AB15" s="312"/>
      <c r="AC15" s="313"/>
      <c r="AD15" s="312"/>
      <c r="AE15" s="313"/>
      <c r="AF15" s="312"/>
      <c r="AG15" s="313"/>
      <c r="AH15" s="312"/>
      <c r="AI15" s="313"/>
      <c r="AJ15" s="312"/>
      <c r="AK15" s="313"/>
      <c r="AL15" s="312"/>
      <c r="AM15" s="313"/>
      <c r="AN15" s="312"/>
      <c r="AO15" s="313"/>
      <c r="AP15" s="312"/>
      <c r="AQ15" s="312"/>
      <c r="AR15" s="312"/>
      <c r="AS15" s="312"/>
      <c r="AT15" s="312"/>
      <c r="AU15" s="313"/>
      <c r="AV15" s="312"/>
      <c r="AW15" s="313"/>
      <c r="AX15" s="311"/>
      <c r="AY15" s="313"/>
      <c r="AZ15" s="312"/>
      <c r="BA15" s="313"/>
      <c r="BB15" s="312"/>
      <c r="BC15" s="312"/>
      <c r="BD15" s="313"/>
      <c r="BE15" s="312"/>
      <c r="BF15" s="226">
        <f t="shared" si="0"/>
        <v>0</v>
      </c>
      <c r="BG15" s="313"/>
      <c r="BH15" s="312"/>
      <c r="BI15" s="313"/>
      <c r="BJ15" s="312"/>
      <c r="BK15" s="312"/>
      <c r="BL15" s="313"/>
      <c r="BM15" s="311"/>
      <c r="BN15" s="313"/>
      <c r="BO15" s="312"/>
      <c r="BP15" s="312"/>
      <c r="BQ15" s="313"/>
      <c r="BR15" s="312"/>
      <c r="BS15" s="226">
        <f t="shared" si="1"/>
        <v>0</v>
      </c>
      <c r="BT15" s="312"/>
      <c r="BU15" s="313"/>
      <c r="BV15" s="313"/>
      <c r="BW15" s="57">
        <f t="shared" si="6"/>
        <v>0</v>
      </c>
      <c r="BX15" s="312"/>
      <c r="BY15" s="312"/>
      <c r="BZ15" s="312"/>
      <c r="CA15" s="312"/>
      <c r="CB15" s="312"/>
      <c r="CC15" s="312"/>
      <c r="CD15" s="312"/>
      <c r="CE15" s="226">
        <f t="shared" si="7"/>
        <v>0</v>
      </c>
      <c r="CF15" s="313"/>
      <c r="CG15" s="313"/>
      <c r="CH15" s="57">
        <f t="shared" si="2"/>
        <v>0</v>
      </c>
      <c r="CI15" s="57">
        <f t="shared" si="8"/>
        <v>0</v>
      </c>
      <c r="CK15" s="312"/>
      <c r="CL15" s="312"/>
      <c r="CM15" s="312"/>
      <c r="CN15" s="312"/>
      <c r="CO15" s="312"/>
      <c r="CP15" s="312"/>
      <c r="CQ15" s="312"/>
      <c r="CR15" s="1086"/>
      <c r="CS15" s="1084"/>
      <c r="CT15" s="1086"/>
      <c r="CU15" s="1086"/>
      <c r="CV15" s="1085"/>
      <c r="CW15" s="91"/>
      <c r="CX15" s="779"/>
    </row>
    <row r="16" spans="1:102" s="51" customFormat="1" ht="12">
      <c r="A16" s="54">
        <v>65</v>
      </c>
      <c r="B16" s="46" t="s">
        <v>63</v>
      </c>
      <c r="C16" s="99"/>
      <c r="I16" s="312"/>
      <c r="J16" s="312"/>
      <c r="K16" s="227">
        <f t="shared" si="3"/>
        <v>0</v>
      </c>
      <c r="L16" s="312"/>
      <c r="M16" s="312"/>
      <c r="N16" s="227">
        <f t="shared" si="4"/>
        <v>0</v>
      </c>
      <c r="O16" s="312"/>
      <c r="P16" s="312"/>
      <c r="Q16" s="312"/>
      <c r="R16" s="226">
        <f t="shared" si="5"/>
        <v>0</v>
      </c>
      <c r="S16" s="312"/>
      <c r="T16" s="312"/>
      <c r="U16" s="312"/>
      <c r="V16" s="312"/>
      <c r="W16" s="312"/>
      <c r="X16" s="312"/>
      <c r="Y16" s="312"/>
      <c r="Z16" s="312"/>
      <c r="AA16" s="312"/>
      <c r="AB16" s="312"/>
      <c r="AC16" s="312"/>
      <c r="AD16" s="312"/>
      <c r="AE16" s="312"/>
      <c r="AF16" s="312"/>
      <c r="AG16" s="312"/>
      <c r="AH16" s="312"/>
      <c r="AI16" s="312"/>
      <c r="AJ16" s="312"/>
      <c r="AK16" s="312"/>
      <c r="AL16" s="312"/>
      <c r="AM16" s="312"/>
      <c r="AN16" s="312"/>
      <c r="AO16" s="312"/>
      <c r="AP16" s="312"/>
      <c r="AQ16" s="312"/>
      <c r="AR16" s="312"/>
      <c r="AS16" s="312"/>
      <c r="AT16" s="312"/>
      <c r="AU16" s="312"/>
      <c r="AV16" s="312"/>
      <c r="AW16" s="312"/>
      <c r="AX16" s="311"/>
      <c r="AY16" s="312"/>
      <c r="AZ16" s="312"/>
      <c r="BA16" s="312"/>
      <c r="BB16" s="312"/>
      <c r="BC16" s="312"/>
      <c r="BD16" s="312"/>
      <c r="BE16" s="312"/>
      <c r="BF16" s="226">
        <f t="shared" si="0"/>
        <v>0</v>
      </c>
      <c r="BG16" s="312"/>
      <c r="BH16" s="312"/>
      <c r="BI16" s="312"/>
      <c r="BJ16" s="312"/>
      <c r="BK16" s="312"/>
      <c r="BL16" s="312"/>
      <c r="BM16" s="311"/>
      <c r="BN16" s="312"/>
      <c r="BO16" s="312"/>
      <c r="BP16" s="312"/>
      <c r="BQ16" s="312"/>
      <c r="BR16" s="312"/>
      <c r="BS16" s="226">
        <f t="shared" si="1"/>
        <v>0</v>
      </c>
      <c r="BT16" s="312"/>
      <c r="BU16" s="312"/>
      <c r="BV16" s="312"/>
      <c r="BW16" s="57">
        <f t="shared" si="6"/>
        <v>0</v>
      </c>
      <c r="BX16" s="312"/>
      <c r="BY16" s="312"/>
      <c r="BZ16" s="312"/>
      <c r="CA16" s="312"/>
      <c r="CB16" s="312"/>
      <c r="CC16" s="312"/>
      <c r="CD16" s="312"/>
      <c r="CE16" s="226">
        <f t="shared" si="7"/>
        <v>0</v>
      </c>
      <c r="CF16" s="313"/>
      <c r="CG16" s="313"/>
      <c r="CH16" s="57">
        <f t="shared" si="2"/>
        <v>0</v>
      </c>
      <c r="CI16" s="57">
        <f t="shared" si="8"/>
        <v>0</v>
      </c>
      <c r="CK16" s="313"/>
      <c r="CL16" s="313"/>
      <c r="CM16" s="313"/>
      <c r="CN16" s="313"/>
      <c r="CO16" s="313"/>
      <c r="CP16" s="313"/>
      <c r="CQ16" s="313"/>
      <c r="CR16" s="1084"/>
      <c r="CS16" s="1084"/>
      <c r="CT16" s="1084"/>
      <c r="CU16" s="1084"/>
      <c r="CV16" s="1083"/>
      <c r="CW16" s="91"/>
      <c r="CX16" s="779"/>
    </row>
    <row r="17" spans="1:105" s="51" customFormat="1" ht="12">
      <c r="A17" s="54">
        <v>66</v>
      </c>
      <c r="B17" s="46" t="s">
        <v>64</v>
      </c>
      <c r="C17" s="99"/>
      <c r="I17" s="313"/>
      <c r="J17" s="313"/>
      <c r="K17" s="227">
        <f t="shared" si="3"/>
        <v>0</v>
      </c>
      <c r="L17" s="313"/>
      <c r="M17" s="313"/>
      <c r="N17" s="227">
        <f t="shared" si="4"/>
        <v>0</v>
      </c>
      <c r="O17" s="313"/>
      <c r="P17" s="313"/>
      <c r="Q17" s="313"/>
      <c r="R17" s="226">
        <f t="shared" si="5"/>
        <v>0</v>
      </c>
      <c r="S17" s="313"/>
      <c r="T17" s="313"/>
      <c r="U17" s="313"/>
      <c r="V17" s="313"/>
      <c r="W17" s="313"/>
      <c r="X17" s="313"/>
      <c r="Y17" s="313"/>
      <c r="Z17" s="313"/>
      <c r="AA17" s="313"/>
      <c r="AB17" s="313"/>
      <c r="AC17" s="313"/>
      <c r="AD17" s="313"/>
      <c r="AE17" s="313"/>
      <c r="AF17" s="313"/>
      <c r="AG17" s="313"/>
      <c r="AH17" s="313"/>
      <c r="AI17" s="313"/>
      <c r="AJ17" s="313"/>
      <c r="AK17" s="313"/>
      <c r="AL17" s="313"/>
      <c r="AM17" s="313"/>
      <c r="AN17" s="313"/>
      <c r="AO17" s="313"/>
      <c r="AP17" s="313"/>
      <c r="AQ17" s="313"/>
      <c r="AR17" s="313"/>
      <c r="AS17" s="313"/>
      <c r="AT17" s="313"/>
      <c r="AU17" s="313"/>
      <c r="AV17" s="313"/>
      <c r="AW17" s="313"/>
      <c r="AX17" s="313"/>
      <c r="AY17" s="313"/>
      <c r="AZ17" s="313"/>
      <c r="BA17" s="313"/>
      <c r="BB17" s="313"/>
      <c r="BC17" s="313"/>
      <c r="BD17" s="313"/>
      <c r="BE17" s="313"/>
      <c r="BF17" s="226">
        <f t="shared" si="0"/>
        <v>0</v>
      </c>
      <c r="BG17" s="313"/>
      <c r="BH17" s="313"/>
      <c r="BI17" s="313"/>
      <c r="BJ17" s="313"/>
      <c r="BK17" s="313"/>
      <c r="BL17" s="313"/>
      <c r="BM17" s="313"/>
      <c r="BN17" s="313"/>
      <c r="BO17" s="313"/>
      <c r="BP17" s="313"/>
      <c r="BQ17" s="313"/>
      <c r="BR17" s="313"/>
      <c r="BS17" s="226">
        <f t="shared" si="1"/>
        <v>0</v>
      </c>
      <c r="BT17" s="313"/>
      <c r="BU17" s="313"/>
      <c r="BV17" s="313"/>
      <c r="BW17" s="57">
        <f t="shared" si="6"/>
        <v>0</v>
      </c>
      <c r="BX17" s="313"/>
      <c r="BY17" s="313"/>
      <c r="BZ17" s="313"/>
      <c r="CA17" s="313"/>
      <c r="CB17" s="313"/>
      <c r="CC17" s="313"/>
      <c r="CD17" s="313"/>
      <c r="CE17" s="226">
        <f t="shared" si="7"/>
        <v>0</v>
      </c>
      <c r="CF17" s="313"/>
      <c r="CG17" s="313"/>
      <c r="CH17" s="57">
        <f t="shared" si="2"/>
        <v>0</v>
      </c>
      <c r="CI17" s="57">
        <f t="shared" si="8"/>
        <v>0</v>
      </c>
      <c r="CK17" s="313"/>
      <c r="CL17" s="313"/>
      <c r="CM17" s="313"/>
      <c r="CN17" s="313"/>
      <c r="CO17" s="313"/>
      <c r="CP17" s="313"/>
      <c r="CQ17" s="313"/>
      <c r="CR17" s="1084"/>
      <c r="CS17" s="1084"/>
      <c r="CT17" s="1084"/>
      <c r="CU17" s="1084"/>
      <c r="CV17" s="1085"/>
      <c r="CW17" s="91"/>
      <c r="CX17" s="779"/>
    </row>
    <row r="18" spans="1:105" s="51" customFormat="1" ht="12">
      <c r="A18" s="54">
        <v>67</v>
      </c>
      <c r="B18" s="991" t="s">
        <v>2053</v>
      </c>
      <c r="C18" s="99"/>
      <c r="I18" s="313"/>
      <c r="J18" s="313"/>
      <c r="K18" s="227">
        <f>SUM(I18+J18)</f>
        <v>0</v>
      </c>
      <c r="L18" s="313"/>
      <c r="M18" s="313"/>
      <c r="N18" s="227">
        <f>SUM(L18+M18)</f>
        <v>0</v>
      </c>
      <c r="O18" s="313"/>
      <c r="P18" s="313"/>
      <c r="Q18" s="313"/>
      <c r="R18" s="226">
        <f>K18+N18+SUM(O18:Q18)</f>
        <v>0</v>
      </c>
      <c r="S18" s="313"/>
      <c r="T18" s="313"/>
      <c r="U18" s="313"/>
      <c r="V18" s="313"/>
      <c r="W18" s="313"/>
      <c r="X18" s="313"/>
      <c r="Y18" s="313"/>
      <c r="Z18" s="313"/>
      <c r="AA18" s="313"/>
      <c r="AB18" s="313"/>
      <c r="AC18" s="313"/>
      <c r="AD18" s="313"/>
      <c r="AE18" s="313"/>
      <c r="AF18" s="313"/>
      <c r="AG18" s="313"/>
      <c r="AH18" s="313"/>
      <c r="AI18" s="313"/>
      <c r="AJ18" s="313"/>
      <c r="AK18" s="313"/>
      <c r="AL18" s="313"/>
      <c r="AM18" s="313"/>
      <c r="AN18" s="313"/>
      <c r="AO18" s="313"/>
      <c r="AP18" s="313"/>
      <c r="AQ18" s="313"/>
      <c r="AR18" s="313"/>
      <c r="AS18" s="313"/>
      <c r="AT18" s="313"/>
      <c r="AU18" s="313"/>
      <c r="AV18" s="313"/>
      <c r="AW18" s="313"/>
      <c r="AX18" s="313"/>
      <c r="AY18" s="313"/>
      <c r="AZ18" s="313"/>
      <c r="BA18" s="313"/>
      <c r="BB18" s="313"/>
      <c r="BC18" s="313"/>
      <c r="BD18" s="313"/>
      <c r="BE18" s="313"/>
      <c r="BF18" s="226">
        <f t="shared" si="0"/>
        <v>0</v>
      </c>
      <c r="BG18" s="313"/>
      <c r="BH18" s="313"/>
      <c r="BI18" s="313"/>
      <c r="BJ18" s="313"/>
      <c r="BK18" s="313"/>
      <c r="BL18" s="313"/>
      <c r="BM18" s="313"/>
      <c r="BN18" s="313"/>
      <c r="BO18" s="313"/>
      <c r="BP18" s="313"/>
      <c r="BQ18" s="313"/>
      <c r="BR18" s="313"/>
      <c r="BS18" s="227">
        <f t="shared" si="1"/>
        <v>0</v>
      </c>
      <c r="BT18" s="313"/>
      <c r="BU18" s="313"/>
      <c r="BV18" s="313"/>
      <c r="BW18" s="57">
        <f t="shared" si="6"/>
        <v>0</v>
      </c>
      <c r="BX18" s="313"/>
      <c r="BY18" s="313"/>
      <c r="BZ18" s="313"/>
      <c r="CA18" s="313"/>
      <c r="CB18" s="313"/>
      <c r="CC18" s="313"/>
      <c r="CD18" s="313"/>
      <c r="CE18" s="226">
        <f t="shared" si="7"/>
        <v>0</v>
      </c>
      <c r="CF18" s="313"/>
      <c r="CG18" s="313"/>
      <c r="CH18" s="57">
        <f t="shared" si="2"/>
        <v>0</v>
      </c>
      <c r="CI18" s="57">
        <f t="shared" si="8"/>
        <v>0</v>
      </c>
      <c r="CK18" s="313"/>
      <c r="CL18" s="313"/>
      <c r="CM18" s="313"/>
      <c r="CN18" s="313"/>
      <c r="CO18" s="313"/>
      <c r="CP18" s="313"/>
      <c r="CQ18" s="313"/>
      <c r="CR18" s="1084"/>
      <c r="CS18" s="1084"/>
      <c r="CT18" s="1084"/>
      <c r="CU18" s="1084"/>
      <c r="CV18" s="1085"/>
      <c r="CW18" s="91"/>
      <c r="CX18" s="779"/>
    </row>
    <row r="19" spans="1:105" s="51" customFormat="1" ht="12">
      <c r="A19" s="54">
        <v>68</v>
      </c>
      <c r="B19" s="46" t="s">
        <v>65</v>
      </c>
      <c r="C19" s="99"/>
      <c r="I19" s="313"/>
      <c r="J19" s="313"/>
      <c r="K19" s="227">
        <f t="shared" si="3"/>
        <v>0</v>
      </c>
      <c r="L19" s="313"/>
      <c r="M19" s="313"/>
      <c r="N19" s="227">
        <f t="shared" si="4"/>
        <v>0</v>
      </c>
      <c r="O19" s="313"/>
      <c r="P19" s="313"/>
      <c r="Q19" s="313"/>
      <c r="R19" s="226">
        <f t="shared" si="5"/>
        <v>0</v>
      </c>
      <c r="S19" s="313"/>
      <c r="T19" s="313"/>
      <c r="U19" s="313"/>
      <c r="V19" s="313"/>
      <c r="W19" s="313"/>
      <c r="X19" s="313"/>
      <c r="Y19" s="313"/>
      <c r="Z19" s="313"/>
      <c r="AA19" s="313"/>
      <c r="AB19" s="313"/>
      <c r="AC19" s="313"/>
      <c r="AD19" s="313"/>
      <c r="AE19" s="313"/>
      <c r="AF19" s="313"/>
      <c r="AG19" s="313"/>
      <c r="AH19" s="313"/>
      <c r="AI19" s="313"/>
      <c r="AJ19" s="313"/>
      <c r="AK19" s="313"/>
      <c r="AL19" s="313"/>
      <c r="AM19" s="313"/>
      <c r="AN19" s="313"/>
      <c r="AO19" s="313"/>
      <c r="AP19" s="313"/>
      <c r="AQ19" s="313"/>
      <c r="AR19" s="313"/>
      <c r="AS19" s="313"/>
      <c r="AT19" s="313"/>
      <c r="AU19" s="313"/>
      <c r="AV19" s="313"/>
      <c r="AW19" s="313"/>
      <c r="AX19" s="313"/>
      <c r="AY19" s="313"/>
      <c r="AZ19" s="313"/>
      <c r="BA19" s="313"/>
      <c r="BB19" s="313"/>
      <c r="BC19" s="313"/>
      <c r="BD19" s="313"/>
      <c r="BE19" s="313"/>
      <c r="BF19" s="226">
        <f t="shared" si="0"/>
        <v>0</v>
      </c>
      <c r="BG19" s="313"/>
      <c r="BH19" s="313"/>
      <c r="BI19" s="313"/>
      <c r="BJ19" s="313"/>
      <c r="BK19" s="313"/>
      <c r="BL19" s="313"/>
      <c r="BM19" s="313"/>
      <c r="BN19" s="313"/>
      <c r="BO19" s="313"/>
      <c r="BP19" s="313"/>
      <c r="BQ19" s="313"/>
      <c r="BR19" s="313"/>
      <c r="BS19" s="227">
        <f t="shared" si="1"/>
        <v>0</v>
      </c>
      <c r="BT19" s="313"/>
      <c r="BU19" s="313"/>
      <c r="BV19" s="313"/>
      <c r="BW19" s="57">
        <f t="shared" si="6"/>
        <v>0</v>
      </c>
      <c r="BX19" s="313"/>
      <c r="BY19" s="313"/>
      <c r="BZ19" s="313"/>
      <c r="CA19" s="313"/>
      <c r="CB19" s="313"/>
      <c r="CC19" s="313"/>
      <c r="CD19" s="313"/>
      <c r="CE19" s="226">
        <f t="shared" si="7"/>
        <v>0</v>
      </c>
      <c r="CF19" s="312"/>
      <c r="CG19" s="312"/>
      <c r="CH19" s="57">
        <f t="shared" si="2"/>
        <v>0</v>
      </c>
      <c r="CI19" s="57">
        <f>BW19+CE19+CF19+CG19+CH19</f>
        <v>0</v>
      </c>
      <c r="CK19" s="313"/>
      <c r="CL19" s="313"/>
      <c r="CM19" s="313"/>
      <c r="CN19" s="313"/>
      <c r="CO19" s="313"/>
      <c r="CP19" s="313"/>
      <c r="CQ19" s="313"/>
      <c r="CR19" s="1084"/>
      <c r="CS19" s="1084"/>
      <c r="CT19" s="1084"/>
      <c r="CU19" s="1084"/>
      <c r="CV19" s="1085"/>
      <c r="CW19" s="91"/>
      <c r="CX19" s="779"/>
    </row>
    <row r="20" spans="1:105" s="51" customFormat="1" ht="12">
      <c r="A20" s="288">
        <v>69</v>
      </c>
      <c r="B20" s="289" t="s">
        <v>160</v>
      </c>
      <c r="C20" s="99"/>
      <c r="I20" s="226"/>
      <c r="J20" s="226"/>
      <c r="K20" s="227"/>
      <c r="L20" s="226"/>
      <c r="M20" s="226"/>
      <c r="N20" s="227"/>
      <c r="O20" s="226"/>
      <c r="P20" s="226"/>
      <c r="Q20" s="226"/>
      <c r="R20" s="226">
        <f>K20+N20+SUM(O20:Q20)</f>
        <v>0</v>
      </c>
      <c r="S20" s="226"/>
      <c r="T20" s="226"/>
      <c r="U20" s="226"/>
      <c r="V20" s="226"/>
      <c r="W20" s="226"/>
      <c r="X20" s="226"/>
      <c r="Y20" s="226"/>
      <c r="Z20" s="226"/>
      <c r="AA20" s="226"/>
      <c r="AB20" s="226"/>
      <c r="AC20" s="226"/>
      <c r="AD20" s="226"/>
      <c r="AE20" s="226"/>
      <c r="AF20" s="226"/>
      <c r="AG20" s="226"/>
      <c r="AH20" s="226"/>
      <c r="AI20" s="226"/>
      <c r="AJ20" s="226"/>
      <c r="AK20" s="226"/>
      <c r="AL20" s="226"/>
      <c r="AM20" s="226"/>
      <c r="AN20" s="226"/>
      <c r="AO20" s="226"/>
      <c r="AP20" s="226"/>
      <c r="AQ20" s="226"/>
      <c r="AR20" s="226"/>
      <c r="AS20" s="226"/>
      <c r="AT20" s="226"/>
      <c r="AU20" s="226"/>
      <c r="AV20" s="226"/>
      <c r="AW20" s="226"/>
      <c r="AX20" s="226"/>
      <c r="AY20" s="226"/>
      <c r="AZ20" s="226"/>
      <c r="BA20" s="226"/>
      <c r="BB20" s="226"/>
      <c r="BC20" s="226"/>
      <c r="BD20" s="226"/>
      <c r="BE20" s="226"/>
      <c r="BF20" s="226">
        <f t="shared" si="0"/>
        <v>0</v>
      </c>
      <c r="BG20" s="226"/>
      <c r="BH20" s="226"/>
      <c r="BI20" s="226"/>
      <c r="BJ20" s="226"/>
      <c r="BK20" s="226"/>
      <c r="BL20" s="226"/>
      <c r="BM20" s="226"/>
      <c r="BN20" s="226"/>
      <c r="BO20" s="226"/>
      <c r="BP20" s="226"/>
      <c r="BQ20" s="226"/>
      <c r="BR20" s="226"/>
      <c r="BS20" s="226">
        <f t="shared" si="1"/>
        <v>0</v>
      </c>
      <c r="BT20" s="226"/>
      <c r="BU20" s="226"/>
      <c r="BV20" s="226"/>
      <c r="BW20" s="57">
        <f t="shared" si="6"/>
        <v>0</v>
      </c>
      <c r="BX20" s="1153"/>
      <c r="BY20" s="1153"/>
      <c r="BZ20" s="1153"/>
      <c r="CA20" s="1153"/>
      <c r="CB20" s="1153"/>
      <c r="CC20" s="1153"/>
      <c r="CD20" s="1153"/>
      <c r="CE20" s="226">
        <f t="shared" si="7"/>
        <v>0</v>
      </c>
      <c r="CF20" s="312"/>
      <c r="CG20" s="312"/>
      <c r="CH20" s="57">
        <f t="shared" si="2"/>
        <v>0</v>
      </c>
      <c r="CI20" s="57">
        <f t="shared" si="8"/>
        <v>0</v>
      </c>
      <c r="CK20" s="226"/>
      <c r="CL20" s="226"/>
      <c r="CM20" s="226"/>
      <c r="CN20" s="226"/>
      <c r="CO20" s="226"/>
      <c r="CP20" s="226"/>
      <c r="CQ20" s="226"/>
      <c r="CR20" s="246"/>
      <c r="CS20" s="246"/>
      <c r="CT20" s="246"/>
      <c r="CU20" s="246"/>
      <c r="CV20" s="1085"/>
      <c r="CW20" s="91"/>
      <c r="CX20" s="779"/>
    </row>
    <row r="21" spans="1:105" s="1207" customFormat="1">
      <c r="A21" s="1145" t="s">
        <v>23</v>
      </c>
      <c r="B21" s="1205"/>
      <c r="C21" s="1206"/>
      <c r="I21" s="1097">
        <f t="shared" ref="I21:U21" si="9">SUM(I13:I20)</f>
        <v>0</v>
      </c>
      <c r="J21" s="1097">
        <f t="shared" si="9"/>
        <v>0</v>
      </c>
      <c r="K21" s="1097">
        <f t="shared" si="3"/>
        <v>0</v>
      </c>
      <c r="L21" s="1097">
        <f>SUM(L13:L20)</f>
        <v>0</v>
      </c>
      <c r="M21" s="1097">
        <f t="shared" si="9"/>
        <v>0</v>
      </c>
      <c r="N21" s="1097">
        <f>SUM(L21+M21)</f>
        <v>0</v>
      </c>
      <c r="O21" s="1097">
        <f t="shared" si="9"/>
        <v>0</v>
      </c>
      <c r="P21" s="1097">
        <f>SUM(P13:P20)</f>
        <v>0</v>
      </c>
      <c r="Q21" s="1097">
        <f>SUM(Q13:Q20)</f>
        <v>0</v>
      </c>
      <c r="R21" s="1097">
        <f>SUM(R13:R20)</f>
        <v>0</v>
      </c>
      <c r="S21" s="1097">
        <f t="shared" si="9"/>
        <v>0</v>
      </c>
      <c r="T21" s="1097">
        <f t="shared" si="9"/>
        <v>0</v>
      </c>
      <c r="U21" s="1097">
        <f t="shared" si="9"/>
        <v>0</v>
      </c>
      <c r="V21" s="1097">
        <f t="shared" ref="V21:BE21" si="10">SUM(V13:V20)</f>
        <v>0</v>
      </c>
      <c r="W21" s="1097">
        <f t="shared" si="10"/>
        <v>0</v>
      </c>
      <c r="X21" s="1097">
        <f t="shared" si="10"/>
        <v>0</v>
      </c>
      <c r="Y21" s="1097">
        <f t="shared" si="10"/>
        <v>0</v>
      </c>
      <c r="Z21" s="1097">
        <f t="shared" si="10"/>
        <v>0</v>
      </c>
      <c r="AA21" s="1097">
        <f t="shared" si="10"/>
        <v>0</v>
      </c>
      <c r="AB21" s="1097">
        <f t="shared" si="10"/>
        <v>0</v>
      </c>
      <c r="AC21" s="1097">
        <f t="shared" si="10"/>
        <v>0</v>
      </c>
      <c r="AD21" s="1097">
        <f t="shared" si="10"/>
        <v>0</v>
      </c>
      <c r="AE21" s="1097">
        <f t="shared" si="10"/>
        <v>0</v>
      </c>
      <c r="AF21" s="1097">
        <f t="shared" si="10"/>
        <v>0</v>
      </c>
      <c r="AG21" s="1097">
        <f t="shared" si="10"/>
        <v>0</v>
      </c>
      <c r="AH21" s="1097">
        <f t="shared" si="10"/>
        <v>0</v>
      </c>
      <c r="AI21" s="1097">
        <f t="shared" si="10"/>
        <v>0</v>
      </c>
      <c r="AJ21" s="1097">
        <f t="shared" si="10"/>
        <v>0</v>
      </c>
      <c r="AK21" s="1097">
        <f t="shared" si="10"/>
        <v>0</v>
      </c>
      <c r="AL21" s="1097">
        <f t="shared" si="10"/>
        <v>0</v>
      </c>
      <c r="AM21" s="1097">
        <f t="shared" si="10"/>
        <v>0</v>
      </c>
      <c r="AN21" s="1097">
        <f t="shared" si="10"/>
        <v>0</v>
      </c>
      <c r="AO21" s="1097">
        <f t="shared" si="10"/>
        <v>0</v>
      </c>
      <c r="AP21" s="1097">
        <f>SUM(AP13:AP20)</f>
        <v>0</v>
      </c>
      <c r="AQ21" s="1097">
        <f t="shared" ref="AQ21:AT21" si="11">SUM(AQ13:AQ20)</f>
        <v>0</v>
      </c>
      <c r="AR21" s="1097">
        <f t="shared" si="11"/>
        <v>0</v>
      </c>
      <c r="AS21" s="1097">
        <f t="shared" si="11"/>
        <v>0</v>
      </c>
      <c r="AT21" s="1097">
        <f t="shared" si="11"/>
        <v>0</v>
      </c>
      <c r="AU21" s="1097">
        <f t="shared" ref="AU21:BB21" si="12">SUM(AU13:AU20)</f>
        <v>0</v>
      </c>
      <c r="AV21" s="1097">
        <f t="shared" si="12"/>
        <v>0</v>
      </c>
      <c r="AW21" s="1097">
        <f t="shared" si="12"/>
        <v>0</v>
      </c>
      <c r="AX21" s="1097">
        <f t="shared" si="12"/>
        <v>0</v>
      </c>
      <c r="AY21" s="1097">
        <f t="shared" si="12"/>
        <v>0</v>
      </c>
      <c r="AZ21" s="1097">
        <f t="shared" si="12"/>
        <v>0</v>
      </c>
      <c r="BA21" s="1097">
        <f t="shared" si="12"/>
        <v>0</v>
      </c>
      <c r="BB21" s="1097">
        <f t="shared" si="12"/>
        <v>0</v>
      </c>
      <c r="BC21" s="1097">
        <f>SUM(BC13:BC20)</f>
        <v>0</v>
      </c>
      <c r="BD21" s="1097">
        <f t="shared" si="10"/>
        <v>0</v>
      </c>
      <c r="BE21" s="1097">
        <f t="shared" si="10"/>
        <v>0</v>
      </c>
      <c r="BF21" s="1097">
        <f t="shared" si="0"/>
        <v>0</v>
      </c>
      <c r="BG21" s="1097">
        <f t="shared" ref="BG21:BR21" si="13">SUM(BG13:BG20)</f>
        <v>0</v>
      </c>
      <c r="BH21" s="1097">
        <f t="shared" si="13"/>
        <v>0</v>
      </c>
      <c r="BI21" s="1097">
        <f t="shared" si="13"/>
        <v>0</v>
      </c>
      <c r="BJ21" s="1097">
        <f t="shared" si="13"/>
        <v>0</v>
      </c>
      <c r="BK21" s="1097">
        <f t="shared" si="13"/>
        <v>0</v>
      </c>
      <c r="BL21" s="1097">
        <f t="shared" si="13"/>
        <v>0</v>
      </c>
      <c r="BM21" s="1097">
        <f t="shared" si="13"/>
        <v>0</v>
      </c>
      <c r="BN21" s="1097">
        <f t="shared" si="13"/>
        <v>0</v>
      </c>
      <c r="BO21" s="1097">
        <f t="shared" si="13"/>
        <v>0</v>
      </c>
      <c r="BP21" s="1097">
        <f t="shared" si="13"/>
        <v>0</v>
      </c>
      <c r="BQ21" s="1097">
        <f t="shared" si="13"/>
        <v>0</v>
      </c>
      <c r="BR21" s="1097">
        <f t="shared" si="13"/>
        <v>0</v>
      </c>
      <c r="BS21" s="1097">
        <f t="shared" si="1"/>
        <v>0</v>
      </c>
      <c r="BT21" s="1097">
        <f>SUM(BT13:BT20)</f>
        <v>0</v>
      </c>
      <c r="BU21" s="1097">
        <f t="shared" ref="BU21:CV21" si="14">SUM(BU13:BU20)</f>
        <v>0</v>
      </c>
      <c r="BV21" s="1097">
        <f t="shared" si="14"/>
        <v>0</v>
      </c>
      <c r="BW21" s="1097">
        <f t="shared" ref="BW21:CD21" si="15">SUM(BW13:BW20)</f>
        <v>0</v>
      </c>
      <c r="BX21" s="1097">
        <f t="shared" si="15"/>
        <v>0</v>
      </c>
      <c r="BY21" s="1097">
        <f t="shared" si="15"/>
        <v>0</v>
      </c>
      <c r="BZ21" s="1097">
        <f t="shared" si="15"/>
        <v>0</v>
      </c>
      <c r="CA21" s="1097">
        <f t="shared" si="15"/>
        <v>0</v>
      </c>
      <c r="CB21" s="1097">
        <f t="shared" si="15"/>
        <v>0</v>
      </c>
      <c r="CC21" s="1097">
        <f t="shared" si="15"/>
        <v>0</v>
      </c>
      <c r="CD21" s="1097">
        <f t="shared" si="15"/>
        <v>0</v>
      </c>
      <c r="CE21" s="1097">
        <f t="shared" si="7"/>
        <v>0</v>
      </c>
      <c r="CF21" s="1097">
        <f t="shared" si="14"/>
        <v>0</v>
      </c>
      <c r="CG21" s="1097">
        <f t="shared" si="14"/>
        <v>0</v>
      </c>
      <c r="CH21" s="1097">
        <f t="shared" si="14"/>
        <v>0</v>
      </c>
      <c r="CI21" s="1097">
        <f t="shared" si="8"/>
        <v>0</v>
      </c>
      <c r="CK21" s="1097">
        <f t="shared" si="14"/>
        <v>0</v>
      </c>
      <c r="CL21" s="1097">
        <f t="shared" si="14"/>
        <v>0</v>
      </c>
      <c r="CM21" s="1097">
        <f t="shared" si="14"/>
        <v>0</v>
      </c>
      <c r="CN21" s="1097">
        <f t="shared" si="14"/>
        <v>0</v>
      </c>
      <c r="CO21" s="1097">
        <f t="shared" si="14"/>
        <v>0</v>
      </c>
      <c r="CP21" s="1097">
        <f t="shared" si="14"/>
        <v>0</v>
      </c>
      <c r="CQ21" s="1097">
        <f t="shared" si="14"/>
        <v>0</v>
      </c>
      <c r="CR21" s="1097">
        <f t="shared" si="14"/>
        <v>0</v>
      </c>
      <c r="CS21" s="1097">
        <f t="shared" si="14"/>
        <v>0</v>
      </c>
      <c r="CT21" s="1097">
        <f t="shared" si="14"/>
        <v>0</v>
      </c>
      <c r="CU21" s="1097">
        <f t="shared" si="14"/>
        <v>0</v>
      </c>
      <c r="CV21" s="1097">
        <f t="shared" si="14"/>
        <v>0</v>
      </c>
      <c r="CW21" s="1097">
        <f>SUM(CK21:CU21)</f>
        <v>0</v>
      </c>
      <c r="CX21" s="1097"/>
    </row>
    <row r="22" spans="1:105" s="1114" customFormat="1" ht="7.5" customHeight="1">
      <c r="A22" s="1110"/>
      <c r="B22" s="1110"/>
      <c r="C22" s="1111"/>
      <c r="I22" s="1112"/>
      <c r="J22" s="1112"/>
      <c r="K22" s="1112"/>
      <c r="L22" s="1112"/>
      <c r="M22" s="1112"/>
      <c r="N22" s="1112"/>
      <c r="O22" s="1112"/>
      <c r="P22" s="1112"/>
      <c r="Q22" s="1112"/>
      <c r="R22" s="1112"/>
      <c r="S22" s="1112"/>
      <c r="T22" s="1112"/>
      <c r="U22" s="1112"/>
      <c r="V22" s="1112"/>
      <c r="W22" s="1112"/>
      <c r="X22" s="1112"/>
      <c r="Y22" s="1112"/>
      <c r="Z22" s="1112"/>
      <c r="AA22" s="1112"/>
      <c r="AB22" s="1112"/>
      <c r="AC22" s="1112"/>
      <c r="AD22" s="1112"/>
      <c r="AE22" s="1112"/>
      <c r="AF22" s="1112"/>
      <c r="AG22" s="1112"/>
      <c r="AH22" s="1112"/>
      <c r="AI22" s="1112"/>
      <c r="AJ22" s="1112"/>
      <c r="AK22" s="1112"/>
      <c r="AL22" s="1112"/>
      <c r="AM22" s="1112"/>
      <c r="AN22" s="1112"/>
      <c r="AO22" s="1112"/>
      <c r="AP22" s="1112"/>
      <c r="AQ22" s="1112"/>
      <c r="AR22" s="1112"/>
      <c r="AS22" s="1112"/>
      <c r="AT22" s="1112"/>
      <c r="AU22" s="1112"/>
      <c r="AV22" s="1112"/>
      <c r="AW22" s="1112"/>
      <c r="AX22" s="1112"/>
      <c r="AY22" s="1112"/>
      <c r="AZ22" s="1112"/>
      <c r="BA22" s="1112"/>
      <c r="BB22" s="1112"/>
      <c r="BC22" s="1112"/>
      <c r="BD22" s="1112"/>
      <c r="BE22" s="1112"/>
      <c r="BF22" s="1112"/>
      <c r="BG22" s="1112"/>
      <c r="BH22" s="1112"/>
      <c r="BI22" s="1112"/>
      <c r="BJ22" s="1112"/>
      <c r="BK22" s="1112"/>
      <c r="BL22" s="1112"/>
      <c r="BM22" s="1112"/>
      <c r="BN22" s="1112"/>
      <c r="BO22" s="1112"/>
      <c r="BP22" s="1112"/>
      <c r="BQ22" s="1112"/>
      <c r="BR22" s="1112"/>
      <c r="BS22" s="1112"/>
      <c r="BT22" s="1112"/>
      <c r="BU22" s="1112"/>
      <c r="BV22" s="1112"/>
      <c r="BW22" s="1112"/>
      <c r="BX22" s="1112"/>
      <c r="BY22" s="1112"/>
      <c r="BZ22" s="1112"/>
      <c r="CA22" s="1112"/>
      <c r="CB22" s="1112"/>
      <c r="CC22" s="1112"/>
      <c r="CD22" s="1112"/>
      <c r="CE22" s="1112"/>
      <c r="CF22" s="1112"/>
      <c r="CG22" s="1112"/>
      <c r="CH22" s="1112"/>
      <c r="CI22" s="1112"/>
      <c r="CK22" s="1112"/>
      <c r="CL22" s="1112"/>
      <c r="CM22" s="1112"/>
      <c r="CN22" s="1112"/>
      <c r="CO22" s="1112"/>
      <c r="CP22" s="1112"/>
      <c r="CQ22" s="1112"/>
      <c r="CR22" s="1112"/>
      <c r="CS22" s="1113"/>
      <c r="CT22" s="1113"/>
      <c r="CU22" s="1113"/>
      <c r="CX22" s="1102"/>
    </row>
    <row r="23" spans="1:105" s="1144" customFormat="1" ht="12">
      <c r="A23" s="1115" t="s">
        <v>24</v>
      </c>
      <c r="B23" s="1116"/>
      <c r="C23" s="1117" t="s">
        <v>25</v>
      </c>
      <c r="I23" s="1119"/>
      <c r="J23" s="1119"/>
      <c r="K23" s="1119"/>
      <c r="L23" s="1119"/>
      <c r="M23" s="1119"/>
      <c r="N23" s="1119"/>
      <c r="O23" s="1119"/>
      <c r="P23" s="1119"/>
      <c r="Q23" s="1119"/>
      <c r="R23" s="1119"/>
      <c r="S23" s="1119"/>
      <c r="T23" s="1119"/>
      <c r="U23" s="1119"/>
      <c r="V23" s="1119"/>
      <c r="W23" s="1119"/>
      <c r="X23" s="1119"/>
      <c r="Y23" s="1119"/>
      <c r="Z23" s="1119"/>
      <c r="AA23" s="1119"/>
      <c r="AB23" s="1119"/>
      <c r="AC23" s="1119"/>
      <c r="AD23" s="1119"/>
      <c r="AE23" s="1119"/>
      <c r="AF23" s="1119"/>
      <c r="AG23" s="1119"/>
      <c r="AH23" s="1119"/>
      <c r="AI23" s="1119"/>
      <c r="AJ23" s="1119"/>
      <c r="AK23" s="1119"/>
      <c r="AL23" s="1119"/>
      <c r="AM23" s="1119"/>
      <c r="AN23" s="1119"/>
      <c r="AO23" s="1119"/>
      <c r="AP23" s="1119"/>
      <c r="AQ23" s="1119"/>
      <c r="AR23" s="1119"/>
      <c r="AS23" s="1119"/>
      <c r="AT23" s="1119"/>
      <c r="AU23" s="1119"/>
      <c r="AV23" s="1119"/>
      <c r="AW23" s="1119"/>
      <c r="AX23" s="1119"/>
      <c r="AY23" s="1119"/>
      <c r="AZ23" s="1119"/>
      <c r="BA23" s="1119"/>
      <c r="BB23" s="1119"/>
      <c r="BC23" s="1119"/>
      <c r="BD23" s="1119"/>
      <c r="BE23" s="1119"/>
      <c r="BF23" s="1119"/>
      <c r="BG23" s="1119"/>
      <c r="BH23" s="1119"/>
      <c r="BI23" s="1119"/>
      <c r="BJ23" s="1119"/>
      <c r="BK23" s="1119"/>
      <c r="BL23" s="1119"/>
      <c r="BM23" s="1119"/>
      <c r="BN23" s="1119"/>
      <c r="BO23" s="1119"/>
      <c r="BP23" s="1119"/>
      <c r="BQ23" s="1119"/>
      <c r="BR23" s="1119"/>
      <c r="BS23" s="1119"/>
      <c r="BT23" s="1119"/>
      <c r="BU23" s="1119"/>
      <c r="BV23" s="1119"/>
      <c r="BW23" s="1119"/>
      <c r="BX23" s="1120"/>
      <c r="BY23" s="1120"/>
      <c r="BZ23" s="1120"/>
      <c r="CA23" s="1120"/>
      <c r="CB23" s="1120"/>
      <c r="CC23" s="1120"/>
      <c r="CD23" s="1120"/>
      <c r="CE23" s="1119"/>
      <c r="CF23" s="1119"/>
      <c r="CG23" s="1119"/>
      <c r="CH23" s="1119"/>
      <c r="CI23" s="1119"/>
      <c r="CK23" s="1119"/>
      <c r="CL23" s="1119"/>
      <c r="CM23" s="1119"/>
      <c r="CN23" s="1119"/>
      <c r="CO23" s="1119"/>
      <c r="CP23" s="1121"/>
      <c r="CQ23" s="1119"/>
      <c r="CR23" s="1122"/>
      <c r="CS23" s="1123"/>
      <c r="CT23" s="1123"/>
      <c r="CU23" s="1123"/>
      <c r="CV23" s="1123"/>
      <c r="CW23" s="1123"/>
      <c r="CX23" s="1124"/>
    </row>
    <row r="24" spans="1:105" s="1101" customFormat="1" ht="12">
      <c r="A24" s="1125" t="s">
        <v>26</v>
      </c>
      <c r="B24" s="1125"/>
      <c r="C24" s="1126"/>
      <c r="I24" s="1127"/>
      <c r="J24" s="1127"/>
      <c r="K24" s="1127"/>
      <c r="L24" s="1127"/>
      <c r="M24" s="1127"/>
      <c r="N24" s="1127"/>
      <c r="O24" s="1127"/>
      <c r="P24" s="1127"/>
      <c r="Q24" s="1127"/>
      <c r="R24" s="1127"/>
      <c r="S24" s="1127"/>
      <c r="T24" s="1127"/>
      <c r="U24" s="1127"/>
      <c r="V24" s="1127"/>
      <c r="W24" s="1127"/>
      <c r="X24" s="1127"/>
      <c r="Y24" s="1127"/>
      <c r="Z24" s="1127"/>
      <c r="AA24" s="1127"/>
      <c r="AB24" s="1127"/>
      <c r="AC24" s="1127"/>
      <c r="AD24" s="1127"/>
      <c r="AE24" s="1127"/>
      <c r="AF24" s="1127"/>
      <c r="AG24" s="1127"/>
      <c r="AH24" s="1127"/>
      <c r="AI24" s="1127"/>
      <c r="AJ24" s="1127"/>
      <c r="AK24" s="1127"/>
      <c r="AL24" s="1127"/>
      <c r="AM24" s="1127"/>
      <c r="AN24" s="1127"/>
      <c r="AO24" s="1127"/>
      <c r="AP24" s="1127"/>
      <c r="AQ24" s="1127"/>
      <c r="AR24" s="1127"/>
      <c r="AS24" s="1127"/>
      <c r="AT24" s="1127"/>
      <c r="AU24" s="1127"/>
      <c r="AV24" s="1127"/>
      <c r="AW24" s="1127"/>
      <c r="AX24" s="1127"/>
      <c r="AY24" s="1127"/>
      <c r="AZ24" s="1127"/>
      <c r="BA24" s="1127"/>
      <c r="BB24" s="1127"/>
      <c r="BC24" s="1127"/>
      <c r="BD24" s="1127"/>
      <c r="BE24" s="1127"/>
      <c r="BF24" s="1127"/>
      <c r="BG24" s="1127"/>
      <c r="BH24" s="1127"/>
      <c r="BI24" s="1127"/>
      <c r="BJ24" s="1127"/>
      <c r="BK24" s="1127"/>
      <c r="BL24" s="1127"/>
      <c r="BM24" s="1127"/>
      <c r="BN24" s="1127"/>
      <c r="BO24" s="1127"/>
      <c r="BP24" s="1127"/>
      <c r="BQ24" s="1127"/>
      <c r="BR24" s="1127"/>
      <c r="BS24" s="1127"/>
      <c r="BT24" s="1127"/>
      <c r="BU24" s="1127"/>
      <c r="BV24" s="1127"/>
      <c r="BW24" s="1127"/>
      <c r="BX24" s="1127"/>
      <c r="BY24" s="1127"/>
      <c r="BZ24" s="1127"/>
      <c r="CA24" s="1127"/>
      <c r="CB24" s="1127"/>
      <c r="CC24" s="1127"/>
      <c r="CD24" s="1127"/>
      <c r="CE24" s="1127"/>
      <c r="CF24" s="1127"/>
      <c r="CG24" s="1127"/>
      <c r="CH24" s="1127"/>
      <c r="CI24" s="1127"/>
      <c r="CK24" s="1127"/>
      <c r="CL24" s="1127"/>
      <c r="CM24" s="1127"/>
      <c r="CN24" s="1127"/>
      <c r="CO24" s="1127"/>
      <c r="CP24" s="1127"/>
      <c r="CQ24" s="1127"/>
      <c r="CR24" s="1127"/>
      <c r="CS24" s="1128"/>
      <c r="CT24" s="1128"/>
      <c r="CU24" s="1128"/>
      <c r="CV24" s="1108"/>
      <c r="CW24" s="1108"/>
      <c r="CX24" s="1109"/>
    </row>
    <row r="25" spans="1:105" s="55" customFormat="1" ht="12">
      <c r="A25" s="49">
        <v>400</v>
      </c>
      <c r="B25" s="43" t="s">
        <v>1348</v>
      </c>
      <c r="C25" s="1377" t="s">
        <v>1347</v>
      </c>
      <c r="I25" s="314"/>
      <c r="J25" s="314"/>
      <c r="K25" s="227">
        <f t="shared" ref="K25:K38" si="16">SUM(I25+J25)</f>
        <v>0</v>
      </c>
      <c r="L25" s="314"/>
      <c r="M25" s="314"/>
      <c r="N25" s="227">
        <f t="shared" ref="N25:N38" si="17">SUM(L25+M25)</f>
        <v>0</v>
      </c>
      <c r="O25" s="314"/>
      <c r="P25" s="314"/>
      <c r="Q25" s="314"/>
      <c r="R25" s="226">
        <f t="shared" ref="R25:R30" si="18">K25+N25+SUM(O25:Q25)</f>
        <v>0</v>
      </c>
      <c r="S25" s="314"/>
      <c r="T25" s="314"/>
      <c r="U25" s="314"/>
      <c r="V25" s="314"/>
      <c r="W25" s="314"/>
      <c r="X25" s="314"/>
      <c r="Y25" s="314"/>
      <c r="Z25" s="314"/>
      <c r="AA25" s="314"/>
      <c r="AB25" s="314"/>
      <c r="AC25" s="314"/>
      <c r="AD25" s="314"/>
      <c r="AE25" s="314"/>
      <c r="AF25" s="314"/>
      <c r="AG25" s="314"/>
      <c r="AH25" s="314"/>
      <c r="AI25" s="314"/>
      <c r="AJ25" s="314"/>
      <c r="AK25" s="314"/>
      <c r="AL25" s="314"/>
      <c r="AM25" s="314"/>
      <c r="AN25" s="314"/>
      <c r="AO25" s="314"/>
      <c r="AP25" s="314"/>
      <c r="AQ25" s="314"/>
      <c r="AR25" s="314"/>
      <c r="AS25" s="314"/>
      <c r="AT25" s="314"/>
      <c r="AU25" s="314"/>
      <c r="AV25" s="314"/>
      <c r="AW25" s="314"/>
      <c r="AX25" s="314"/>
      <c r="AY25" s="314"/>
      <c r="AZ25" s="314"/>
      <c r="BA25" s="314"/>
      <c r="BB25" s="314"/>
      <c r="BC25" s="314"/>
      <c r="BD25" s="314"/>
      <c r="BE25" s="314"/>
      <c r="BF25" s="57">
        <f t="shared" ref="BF25:BF30" si="19">SUM(S25:BE25)</f>
        <v>0</v>
      </c>
      <c r="BG25" s="314"/>
      <c r="BH25" s="314"/>
      <c r="BI25" s="314"/>
      <c r="BJ25" s="314"/>
      <c r="BK25" s="314"/>
      <c r="BL25" s="314"/>
      <c r="BM25" s="314"/>
      <c r="BN25" s="314"/>
      <c r="BO25" s="314"/>
      <c r="BP25" s="314"/>
      <c r="BQ25" s="314"/>
      <c r="BR25" s="314"/>
      <c r="BS25" s="57">
        <f t="shared" ref="BS25:BS37" si="20">SUM(BG25:BR25)</f>
        <v>0</v>
      </c>
      <c r="BT25" s="314"/>
      <c r="BU25" s="314"/>
      <c r="BV25" s="314"/>
      <c r="BW25" s="57">
        <f t="shared" ref="BW25:BW30" si="21">R25+BF25+BS25+BT25+BU25+BV25</f>
        <v>0</v>
      </c>
      <c r="BX25" s="314"/>
      <c r="BY25" s="314"/>
      <c r="BZ25" s="314"/>
      <c r="CA25" s="314"/>
      <c r="CB25" s="314"/>
      <c r="CC25" s="314"/>
      <c r="CD25" s="314"/>
      <c r="CE25" s="1090">
        <f t="shared" ref="CE25:CE30" si="22">SUM(BX25:CD25)</f>
        <v>0</v>
      </c>
      <c r="CF25" s="314"/>
      <c r="CG25" s="314"/>
      <c r="CH25" s="57">
        <f t="shared" ref="CH25:CH30" si="23">SUM(CK25:CV25)</f>
        <v>0</v>
      </c>
      <c r="CI25" s="57">
        <f t="shared" ref="CI25:CI30" si="24">BW25+CE25+CF25+CG25+CH25</f>
        <v>0</v>
      </c>
      <c r="CK25" s="315"/>
      <c r="CL25" s="315"/>
      <c r="CM25" s="315"/>
      <c r="CN25" s="315"/>
      <c r="CO25" s="315"/>
      <c r="CP25" s="315"/>
      <c r="CQ25" s="315"/>
      <c r="CR25" s="1087"/>
      <c r="CS25" s="1088"/>
      <c r="CT25" s="1087"/>
      <c r="CU25" s="1088"/>
      <c r="CV25" s="1089"/>
      <c r="CW25" s="150"/>
      <c r="CX25" s="779"/>
    </row>
    <row r="26" spans="1:105" s="55" customFormat="1" ht="12">
      <c r="A26" s="50"/>
      <c r="B26" s="804" t="s">
        <v>1342</v>
      </c>
      <c r="C26" s="1378"/>
      <c r="I26" s="314"/>
      <c r="J26" s="314"/>
      <c r="K26" s="227">
        <f t="shared" si="16"/>
        <v>0</v>
      </c>
      <c r="L26" s="314"/>
      <c r="M26" s="314"/>
      <c r="N26" s="227">
        <f t="shared" si="17"/>
        <v>0</v>
      </c>
      <c r="O26" s="314"/>
      <c r="P26" s="314"/>
      <c r="Q26" s="314"/>
      <c r="R26" s="226">
        <f t="shared" si="18"/>
        <v>0</v>
      </c>
      <c r="S26" s="1080"/>
      <c r="T26" s="1080"/>
      <c r="U26" s="1080"/>
      <c r="V26" s="1080"/>
      <c r="W26" s="1080"/>
      <c r="X26" s="1080"/>
      <c r="Y26" s="1080"/>
      <c r="Z26" s="1080"/>
      <c r="AA26" s="1080"/>
      <c r="AB26" s="1080"/>
      <c r="AC26" s="1080"/>
      <c r="AD26" s="1080"/>
      <c r="AE26" s="1080"/>
      <c r="AF26" s="1080"/>
      <c r="AG26" s="1080"/>
      <c r="AH26" s="1080"/>
      <c r="AI26" s="1080"/>
      <c r="AJ26" s="1080"/>
      <c r="AK26" s="1080"/>
      <c r="AL26" s="1080"/>
      <c r="AM26" s="1080"/>
      <c r="AN26" s="1080"/>
      <c r="AO26" s="1080"/>
      <c r="AP26" s="1080"/>
      <c r="AQ26" s="1080"/>
      <c r="AR26" s="1080"/>
      <c r="AS26" s="1080"/>
      <c r="AT26" s="1080"/>
      <c r="AU26" s="1080"/>
      <c r="AV26" s="1080"/>
      <c r="AW26" s="1080"/>
      <c r="AX26" s="1080"/>
      <c r="AY26" s="1080"/>
      <c r="AZ26" s="1080"/>
      <c r="BA26" s="1080"/>
      <c r="BB26" s="1080"/>
      <c r="BC26" s="1080"/>
      <c r="BD26" s="1080"/>
      <c r="BE26" s="1080"/>
      <c r="BF26" s="57">
        <f t="shared" si="19"/>
        <v>0</v>
      </c>
      <c r="BG26" s="315"/>
      <c r="BH26" s="315"/>
      <c r="BI26" s="315"/>
      <c r="BJ26" s="315"/>
      <c r="BK26" s="315"/>
      <c r="BL26" s="315"/>
      <c r="BM26" s="315"/>
      <c r="BN26" s="315"/>
      <c r="BO26" s="315"/>
      <c r="BP26" s="315"/>
      <c r="BQ26" s="315"/>
      <c r="BR26" s="315"/>
      <c r="BS26" s="57">
        <f t="shared" si="20"/>
        <v>0</v>
      </c>
      <c r="BT26" s="314"/>
      <c r="BU26" s="314"/>
      <c r="BV26" s="314"/>
      <c r="BW26" s="57">
        <f t="shared" si="21"/>
        <v>0</v>
      </c>
      <c r="BX26" s="315"/>
      <c r="BY26" s="315"/>
      <c r="BZ26" s="315"/>
      <c r="CA26" s="315"/>
      <c r="CB26" s="315"/>
      <c r="CC26" s="315"/>
      <c r="CD26" s="315"/>
      <c r="CE26" s="1090">
        <f t="shared" si="22"/>
        <v>0</v>
      </c>
      <c r="CF26" s="315"/>
      <c r="CG26" s="315"/>
      <c r="CH26" s="57">
        <f t="shared" si="23"/>
        <v>0</v>
      </c>
      <c r="CI26" s="57">
        <f t="shared" si="24"/>
        <v>0</v>
      </c>
      <c r="CK26" s="315"/>
      <c r="CL26" s="315"/>
      <c r="CM26" s="315"/>
      <c r="CN26" s="315"/>
      <c r="CO26" s="315"/>
      <c r="CP26" s="315"/>
      <c r="CQ26" s="315"/>
      <c r="CR26" s="1087"/>
      <c r="CS26" s="1088"/>
      <c r="CT26" s="1087"/>
      <c r="CU26" s="1088"/>
      <c r="CV26" s="1089"/>
      <c r="CW26" s="150"/>
      <c r="CX26" s="779"/>
    </row>
    <row r="27" spans="1:105" s="55" customFormat="1" ht="12">
      <c r="A27" s="50">
        <v>401</v>
      </c>
      <c r="B27" s="804" t="s">
        <v>1349</v>
      </c>
      <c r="C27" s="1378"/>
      <c r="I27" s="314"/>
      <c r="J27" s="314"/>
      <c r="K27" s="227">
        <f t="shared" si="16"/>
        <v>0</v>
      </c>
      <c r="L27" s="314"/>
      <c r="M27" s="314"/>
      <c r="N27" s="227">
        <f t="shared" si="17"/>
        <v>0</v>
      </c>
      <c r="O27" s="314"/>
      <c r="P27" s="314"/>
      <c r="Q27" s="314"/>
      <c r="R27" s="226">
        <f t="shared" si="18"/>
        <v>0</v>
      </c>
      <c r="S27" s="314"/>
      <c r="T27" s="314"/>
      <c r="U27" s="314"/>
      <c r="V27" s="314"/>
      <c r="W27" s="314"/>
      <c r="X27" s="314"/>
      <c r="Y27" s="314"/>
      <c r="Z27" s="314"/>
      <c r="AA27" s="314"/>
      <c r="AB27" s="314"/>
      <c r="AC27" s="314"/>
      <c r="AD27" s="314"/>
      <c r="AE27" s="314"/>
      <c r="AF27" s="314"/>
      <c r="AG27" s="314"/>
      <c r="AH27" s="314"/>
      <c r="AI27" s="314"/>
      <c r="AJ27" s="314"/>
      <c r="AK27" s="314"/>
      <c r="AL27" s="314"/>
      <c r="AM27" s="314"/>
      <c r="AN27" s="314"/>
      <c r="AO27" s="314"/>
      <c r="AP27" s="314"/>
      <c r="AQ27" s="314"/>
      <c r="AR27" s="314"/>
      <c r="AS27" s="314"/>
      <c r="AT27" s="314"/>
      <c r="AU27" s="314"/>
      <c r="AV27" s="314"/>
      <c r="AW27" s="314"/>
      <c r="AX27" s="314"/>
      <c r="AY27" s="314"/>
      <c r="AZ27" s="314"/>
      <c r="BA27" s="314"/>
      <c r="BB27" s="314"/>
      <c r="BC27" s="314"/>
      <c r="BD27" s="314"/>
      <c r="BE27" s="314"/>
      <c r="BF27" s="57">
        <f t="shared" si="19"/>
        <v>0</v>
      </c>
      <c r="BG27" s="314"/>
      <c r="BH27" s="314"/>
      <c r="BI27" s="314"/>
      <c r="BJ27" s="314"/>
      <c r="BK27" s="314"/>
      <c r="BL27" s="314"/>
      <c r="BM27" s="314"/>
      <c r="BN27" s="314"/>
      <c r="BO27" s="314"/>
      <c r="BP27" s="314"/>
      <c r="BQ27" s="314"/>
      <c r="BR27" s="314"/>
      <c r="BS27" s="57">
        <f t="shared" si="20"/>
        <v>0</v>
      </c>
      <c r="BT27" s="314"/>
      <c r="BU27" s="314"/>
      <c r="BV27" s="314"/>
      <c r="BW27" s="57">
        <f t="shared" si="21"/>
        <v>0</v>
      </c>
      <c r="BX27" s="314"/>
      <c r="BY27" s="314"/>
      <c r="BZ27" s="314"/>
      <c r="CA27" s="314"/>
      <c r="CB27" s="314"/>
      <c r="CC27" s="314"/>
      <c r="CD27" s="314"/>
      <c r="CE27" s="1090">
        <f t="shared" si="22"/>
        <v>0</v>
      </c>
      <c r="CF27" s="314"/>
      <c r="CG27" s="314"/>
      <c r="CH27" s="57">
        <f t="shared" si="23"/>
        <v>0</v>
      </c>
      <c r="CI27" s="57">
        <f t="shared" si="24"/>
        <v>0</v>
      </c>
      <c r="CK27" s="315"/>
      <c r="CL27" s="315"/>
      <c r="CM27" s="315"/>
      <c r="CN27" s="315"/>
      <c r="CO27" s="315"/>
      <c r="CP27" s="315"/>
      <c r="CQ27" s="315"/>
      <c r="CR27" s="1087"/>
      <c r="CS27" s="1088"/>
      <c r="CT27" s="1087"/>
      <c r="CU27" s="1088"/>
      <c r="CV27" s="1089"/>
      <c r="CW27" s="150"/>
      <c r="CX27" s="779"/>
    </row>
    <row r="28" spans="1:105" s="55" customFormat="1" ht="12">
      <c r="A28" s="50"/>
      <c r="B28" s="42" t="s">
        <v>1344</v>
      </c>
      <c r="C28" s="1379"/>
      <c r="I28" s="314"/>
      <c r="J28" s="314"/>
      <c r="K28" s="227">
        <f t="shared" si="16"/>
        <v>0</v>
      </c>
      <c r="L28" s="314"/>
      <c r="M28" s="314"/>
      <c r="N28" s="227">
        <f t="shared" si="17"/>
        <v>0</v>
      </c>
      <c r="O28" s="314"/>
      <c r="P28" s="314"/>
      <c r="Q28" s="314"/>
      <c r="R28" s="226">
        <f t="shared" si="18"/>
        <v>0</v>
      </c>
      <c r="S28" s="315"/>
      <c r="T28" s="315"/>
      <c r="U28" s="315"/>
      <c r="V28" s="315"/>
      <c r="W28" s="315"/>
      <c r="X28" s="315"/>
      <c r="Y28" s="315"/>
      <c r="Z28" s="315"/>
      <c r="AA28" s="315"/>
      <c r="AB28" s="315"/>
      <c r="AC28" s="315"/>
      <c r="AD28" s="315"/>
      <c r="AE28" s="315"/>
      <c r="AF28" s="315"/>
      <c r="AG28" s="315"/>
      <c r="AH28" s="315"/>
      <c r="AI28" s="315"/>
      <c r="AJ28" s="315"/>
      <c r="AK28" s="315"/>
      <c r="AL28" s="315"/>
      <c r="AM28" s="1080"/>
      <c r="AN28" s="315"/>
      <c r="AO28" s="315"/>
      <c r="AP28" s="315"/>
      <c r="AQ28" s="315"/>
      <c r="AR28" s="315"/>
      <c r="AS28" s="315"/>
      <c r="AT28" s="315"/>
      <c r="AU28" s="1080"/>
      <c r="AV28" s="315"/>
      <c r="AW28" s="315"/>
      <c r="AX28" s="315"/>
      <c r="AY28" s="1080"/>
      <c r="AZ28" s="315"/>
      <c r="BA28" s="315"/>
      <c r="BB28" s="315"/>
      <c r="BC28" s="315"/>
      <c r="BD28" s="315"/>
      <c r="BE28" s="315"/>
      <c r="BF28" s="57">
        <f t="shared" si="19"/>
        <v>0</v>
      </c>
      <c r="BG28" s="315"/>
      <c r="BH28" s="315"/>
      <c r="BI28" s="315"/>
      <c r="BJ28" s="315"/>
      <c r="BK28" s="315"/>
      <c r="BL28" s="315"/>
      <c r="BM28" s="315"/>
      <c r="BN28" s="315"/>
      <c r="BO28" s="315"/>
      <c r="BP28" s="315"/>
      <c r="BQ28" s="315"/>
      <c r="BR28" s="315"/>
      <c r="BS28" s="57">
        <f t="shared" si="20"/>
        <v>0</v>
      </c>
      <c r="BT28" s="314"/>
      <c r="BU28" s="314"/>
      <c r="BV28" s="314"/>
      <c r="BW28" s="57">
        <f t="shared" si="21"/>
        <v>0</v>
      </c>
      <c r="BX28" s="315"/>
      <c r="BY28" s="315"/>
      <c r="BZ28" s="315"/>
      <c r="CA28" s="315"/>
      <c r="CB28" s="315"/>
      <c r="CC28" s="315"/>
      <c r="CD28" s="315"/>
      <c r="CE28" s="1090">
        <f t="shared" si="22"/>
        <v>0</v>
      </c>
      <c r="CF28" s="315"/>
      <c r="CG28" s="315"/>
      <c r="CH28" s="57">
        <f t="shared" si="23"/>
        <v>0</v>
      </c>
      <c r="CI28" s="57">
        <f t="shared" si="24"/>
        <v>0</v>
      </c>
      <c r="CK28" s="315"/>
      <c r="CL28" s="315"/>
      <c r="CM28" s="315"/>
      <c r="CN28" s="315"/>
      <c r="CO28" s="315"/>
      <c r="CP28" s="315"/>
      <c r="CQ28" s="315"/>
      <c r="CR28" s="1088"/>
      <c r="CS28" s="1088"/>
      <c r="CT28" s="1087"/>
      <c r="CU28" s="1088"/>
      <c r="CV28" s="1089"/>
      <c r="CW28" s="150"/>
      <c r="CX28" s="779"/>
    </row>
    <row r="29" spans="1:105" s="55" customFormat="1" ht="12">
      <c r="A29" s="50">
        <v>405</v>
      </c>
      <c r="B29" s="44" t="s">
        <v>1350</v>
      </c>
      <c r="C29" s="1373" t="s">
        <v>27</v>
      </c>
      <c r="I29" s="314"/>
      <c r="J29" s="314"/>
      <c r="K29" s="227">
        <f t="shared" si="16"/>
        <v>0</v>
      </c>
      <c r="L29" s="314"/>
      <c r="M29" s="314"/>
      <c r="N29" s="227">
        <f t="shared" si="17"/>
        <v>0</v>
      </c>
      <c r="O29" s="314"/>
      <c r="P29" s="314"/>
      <c r="Q29" s="314"/>
      <c r="R29" s="226">
        <f t="shared" si="18"/>
        <v>0</v>
      </c>
      <c r="S29" s="314"/>
      <c r="T29" s="314"/>
      <c r="U29" s="314"/>
      <c r="V29" s="314"/>
      <c r="W29" s="314"/>
      <c r="X29" s="314"/>
      <c r="Y29" s="314"/>
      <c r="Z29" s="314"/>
      <c r="AA29" s="314"/>
      <c r="AB29" s="314"/>
      <c r="AC29" s="314"/>
      <c r="AD29" s="314"/>
      <c r="AE29" s="314"/>
      <c r="AF29" s="314"/>
      <c r="AG29" s="314"/>
      <c r="AH29" s="314"/>
      <c r="AI29" s="314"/>
      <c r="AJ29" s="314"/>
      <c r="AK29" s="314"/>
      <c r="AL29" s="314"/>
      <c r="AM29" s="314"/>
      <c r="AN29" s="314"/>
      <c r="AO29" s="314"/>
      <c r="AP29" s="314"/>
      <c r="AQ29" s="314"/>
      <c r="AR29" s="314"/>
      <c r="AS29" s="314"/>
      <c r="AT29" s="314"/>
      <c r="AU29" s="314"/>
      <c r="AV29" s="314"/>
      <c r="AW29" s="314"/>
      <c r="AX29" s="314"/>
      <c r="AY29" s="314"/>
      <c r="AZ29" s="314"/>
      <c r="BA29" s="314"/>
      <c r="BB29" s="314"/>
      <c r="BC29" s="314"/>
      <c r="BD29" s="314"/>
      <c r="BE29" s="314"/>
      <c r="BF29" s="57">
        <f t="shared" si="19"/>
        <v>0</v>
      </c>
      <c r="BG29" s="314"/>
      <c r="BH29" s="314"/>
      <c r="BI29" s="314"/>
      <c r="BJ29" s="314"/>
      <c r="BK29" s="314"/>
      <c r="BL29" s="314"/>
      <c r="BM29" s="314"/>
      <c r="BN29" s="314"/>
      <c r="BO29" s="314"/>
      <c r="BP29" s="314"/>
      <c r="BQ29" s="314"/>
      <c r="BR29" s="314"/>
      <c r="BS29" s="57">
        <f t="shared" si="20"/>
        <v>0</v>
      </c>
      <c r="BT29" s="314"/>
      <c r="BU29" s="314"/>
      <c r="BV29" s="314"/>
      <c r="BW29" s="57">
        <f t="shared" si="21"/>
        <v>0</v>
      </c>
      <c r="BX29" s="315"/>
      <c r="BY29" s="315"/>
      <c r="BZ29" s="315"/>
      <c r="CA29" s="315"/>
      <c r="CB29" s="315"/>
      <c r="CC29" s="315"/>
      <c r="CD29" s="315"/>
      <c r="CE29" s="1090">
        <f t="shared" si="22"/>
        <v>0</v>
      </c>
      <c r="CF29" s="315"/>
      <c r="CG29" s="315"/>
      <c r="CH29" s="57">
        <f t="shared" si="23"/>
        <v>0</v>
      </c>
      <c r="CI29" s="57">
        <f t="shared" si="24"/>
        <v>0</v>
      </c>
      <c r="CK29" s="315"/>
      <c r="CL29" s="315"/>
      <c r="CM29" s="315"/>
      <c r="CN29" s="315"/>
      <c r="CO29" s="315"/>
      <c r="CP29" s="315"/>
      <c r="CQ29" s="315"/>
      <c r="CR29" s="1088"/>
      <c r="CS29" s="1088"/>
      <c r="CT29" s="1088"/>
      <c r="CU29" s="1087"/>
      <c r="CV29" s="1089"/>
      <c r="CW29" s="150"/>
      <c r="CX29" s="779"/>
    </row>
    <row r="30" spans="1:105" s="55" customFormat="1" ht="12">
      <c r="A30" s="54"/>
      <c r="B30" s="45" t="s">
        <v>1351</v>
      </c>
      <c r="C30" s="1373"/>
      <c r="I30" s="315"/>
      <c r="J30" s="314"/>
      <c r="K30" s="227">
        <f t="shared" si="16"/>
        <v>0</v>
      </c>
      <c r="L30" s="315"/>
      <c r="M30" s="314"/>
      <c r="N30" s="227">
        <f t="shared" si="17"/>
        <v>0</v>
      </c>
      <c r="O30" s="314"/>
      <c r="P30" s="315"/>
      <c r="Q30" s="314"/>
      <c r="R30" s="226">
        <f t="shared" si="18"/>
        <v>0</v>
      </c>
      <c r="S30" s="315"/>
      <c r="T30" s="314"/>
      <c r="U30" s="315"/>
      <c r="V30" s="314"/>
      <c r="W30" s="315"/>
      <c r="X30" s="314"/>
      <c r="Y30" s="315"/>
      <c r="Z30" s="314"/>
      <c r="AA30" s="315"/>
      <c r="AB30" s="314"/>
      <c r="AC30" s="315"/>
      <c r="AD30" s="314"/>
      <c r="AE30" s="315"/>
      <c r="AF30" s="314"/>
      <c r="AG30" s="315"/>
      <c r="AH30" s="314"/>
      <c r="AI30" s="315"/>
      <c r="AJ30" s="314"/>
      <c r="AK30" s="315"/>
      <c r="AL30" s="314"/>
      <c r="AM30" s="315"/>
      <c r="AN30" s="314"/>
      <c r="AO30" s="315"/>
      <c r="AP30" s="314"/>
      <c r="AQ30" s="314"/>
      <c r="AR30" s="314"/>
      <c r="AS30" s="314"/>
      <c r="AT30" s="314"/>
      <c r="AU30" s="315"/>
      <c r="AV30" s="314"/>
      <c r="AW30" s="315"/>
      <c r="AX30" s="314"/>
      <c r="AY30" s="315"/>
      <c r="AZ30" s="314"/>
      <c r="BA30" s="315"/>
      <c r="BB30" s="314"/>
      <c r="BC30" s="314"/>
      <c r="BD30" s="315"/>
      <c r="BE30" s="314"/>
      <c r="BF30" s="57">
        <f t="shared" si="19"/>
        <v>0</v>
      </c>
      <c r="BG30" s="315"/>
      <c r="BH30" s="315"/>
      <c r="BI30" s="315"/>
      <c r="BJ30" s="315"/>
      <c r="BK30" s="315"/>
      <c r="BL30" s="315"/>
      <c r="BM30" s="315"/>
      <c r="BN30" s="315"/>
      <c r="BO30" s="315"/>
      <c r="BP30" s="315"/>
      <c r="BQ30" s="315"/>
      <c r="BR30" s="315"/>
      <c r="BS30" s="57">
        <f t="shared" si="20"/>
        <v>0</v>
      </c>
      <c r="BT30" s="314"/>
      <c r="BU30" s="1080"/>
      <c r="BV30" s="1080"/>
      <c r="BW30" s="57">
        <f t="shared" si="21"/>
        <v>0</v>
      </c>
      <c r="BX30" s="315"/>
      <c r="BY30" s="315"/>
      <c r="BZ30" s="315"/>
      <c r="CA30" s="315"/>
      <c r="CB30" s="315"/>
      <c r="CC30" s="315"/>
      <c r="CD30" s="315"/>
      <c r="CE30" s="1090">
        <f t="shared" si="22"/>
        <v>0</v>
      </c>
      <c r="CF30" s="314"/>
      <c r="CG30" s="314"/>
      <c r="CH30" s="57">
        <f t="shared" si="23"/>
        <v>0</v>
      </c>
      <c r="CI30" s="57">
        <f t="shared" si="24"/>
        <v>0</v>
      </c>
      <c r="CK30" s="314"/>
      <c r="CL30" s="315"/>
      <c r="CM30" s="315"/>
      <c r="CN30" s="315"/>
      <c r="CO30" s="315"/>
      <c r="CP30" s="1074"/>
      <c r="CQ30" s="315"/>
      <c r="CR30" s="1088"/>
      <c r="CS30" s="1088"/>
      <c r="CT30" s="1088"/>
      <c r="CU30" s="1087"/>
      <c r="CV30" s="1089"/>
      <c r="CW30" s="150"/>
      <c r="CX30" s="779">
        <f>SUM(CI25:CI30)-'ITAR_K Gesamtansicht'!CI10+'ITAR_K Gesamtansicht'!F10</f>
        <v>0</v>
      </c>
      <c r="CY30" s="786"/>
      <c r="CZ30" s="786"/>
      <c r="DA30" s="786"/>
    </row>
    <row r="31" spans="1:105" s="1101" customFormat="1" ht="12">
      <c r="A31" s="1125" t="s">
        <v>44</v>
      </c>
      <c r="B31" s="1199"/>
      <c r="C31" s="1200"/>
      <c r="I31" s="1091"/>
      <c r="J31" s="1091"/>
      <c r="K31" s="1091"/>
      <c r="L31" s="1091"/>
      <c r="M31" s="1091"/>
      <c r="N31" s="1091"/>
      <c r="O31" s="1091"/>
      <c r="P31" s="1091"/>
      <c r="Q31" s="1091"/>
      <c r="R31" s="1091"/>
      <c r="S31" s="1091"/>
      <c r="T31" s="1091"/>
      <c r="U31" s="1091"/>
      <c r="V31" s="1091"/>
      <c r="W31" s="1091"/>
      <c r="X31" s="1091"/>
      <c r="Y31" s="1091"/>
      <c r="Z31" s="1091"/>
      <c r="AA31" s="1091"/>
      <c r="AB31" s="1091"/>
      <c r="AC31" s="1091"/>
      <c r="AD31" s="1091"/>
      <c r="AE31" s="1091"/>
      <c r="AF31" s="1091"/>
      <c r="AG31" s="1091"/>
      <c r="AH31" s="1091"/>
      <c r="AI31" s="1091"/>
      <c r="AJ31" s="1091"/>
      <c r="AK31" s="1091"/>
      <c r="AL31" s="1091"/>
      <c r="AM31" s="1091"/>
      <c r="AN31" s="1091"/>
      <c r="AO31" s="1091"/>
      <c r="AP31" s="1091"/>
      <c r="AQ31" s="1091"/>
      <c r="AR31" s="1091"/>
      <c r="AS31" s="1091"/>
      <c r="AT31" s="1091"/>
      <c r="AU31" s="1091"/>
      <c r="AV31" s="1091"/>
      <c r="AW31" s="1091"/>
      <c r="AX31" s="1091"/>
      <c r="AY31" s="1091"/>
      <c r="AZ31" s="1091"/>
      <c r="BA31" s="1091"/>
      <c r="BB31" s="1091"/>
      <c r="BC31" s="1091"/>
      <c r="BD31" s="1091"/>
      <c r="BE31" s="1091"/>
      <c r="BF31" s="1091"/>
      <c r="BG31" s="1091"/>
      <c r="BH31" s="1091"/>
      <c r="BI31" s="1091"/>
      <c r="BJ31" s="1091"/>
      <c r="BK31" s="1091"/>
      <c r="BL31" s="1091"/>
      <c r="BM31" s="1091"/>
      <c r="BN31" s="1091"/>
      <c r="BO31" s="1091"/>
      <c r="BP31" s="1091"/>
      <c r="BQ31" s="1091"/>
      <c r="BR31" s="1091"/>
      <c r="BS31" s="1091"/>
      <c r="BT31" s="1091"/>
      <c r="BU31" s="1091"/>
      <c r="BV31" s="1091"/>
      <c r="BW31" s="1091"/>
      <c r="BX31" s="1091"/>
      <c r="BY31" s="1091"/>
      <c r="BZ31" s="1091"/>
      <c r="CA31" s="1091"/>
      <c r="CB31" s="1091"/>
      <c r="CC31" s="1091"/>
      <c r="CD31" s="1091"/>
      <c r="CE31" s="1091"/>
      <c r="CF31" s="1091"/>
      <c r="CG31" s="1091"/>
      <c r="CH31" s="1091"/>
      <c r="CI31" s="1091"/>
      <c r="CK31" s="1091"/>
      <c r="CL31" s="1091"/>
      <c r="CM31" s="1091"/>
      <c r="CN31" s="1091"/>
      <c r="CO31" s="1091"/>
      <c r="CP31" s="1091"/>
      <c r="CQ31" s="1091"/>
      <c r="CR31" s="1091"/>
      <c r="CS31" s="1100"/>
      <c r="CT31" s="1100"/>
      <c r="CU31" s="1100"/>
      <c r="CW31" s="1208"/>
      <c r="CX31" s="1209"/>
    </row>
    <row r="32" spans="1:105" s="55" customFormat="1" ht="12">
      <c r="A32" s="49">
        <v>380</v>
      </c>
      <c r="B32" s="43" t="s">
        <v>46</v>
      </c>
      <c r="C32" s="1373" t="s">
        <v>47</v>
      </c>
      <c r="I32" s="315"/>
      <c r="J32" s="314"/>
      <c r="K32" s="227">
        <f t="shared" si="16"/>
        <v>0</v>
      </c>
      <c r="L32" s="315"/>
      <c r="M32" s="314"/>
      <c r="N32" s="227">
        <f t="shared" si="17"/>
        <v>0</v>
      </c>
      <c r="O32" s="314"/>
      <c r="P32" s="315"/>
      <c r="Q32" s="314"/>
      <c r="R32" s="226">
        <f>K32+N32+SUM(O32:Q32)</f>
        <v>0</v>
      </c>
      <c r="S32" s="315"/>
      <c r="T32" s="314"/>
      <c r="U32" s="315"/>
      <c r="V32" s="314"/>
      <c r="W32" s="315"/>
      <c r="X32" s="314"/>
      <c r="Y32" s="315"/>
      <c r="Z32" s="314"/>
      <c r="AA32" s="315"/>
      <c r="AB32" s="314"/>
      <c r="AC32" s="315"/>
      <c r="AD32" s="314"/>
      <c r="AE32" s="315"/>
      <c r="AF32" s="314"/>
      <c r="AG32" s="315"/>
      <c r="AH32" s="314"/>
      <c r="AI32" s="315"/>
      <c r="AJ32" s="314"/>
      <c r="AK32" s="315"/>
      <c r="AL32" s="314"/>
      <c r="AM32" s="315"/>
      <c r="AN32" s="314"/>
      <c r="AO32" s="315"/>
      <c r="AP32" s="314"/>
      <c r="AQ32" s="314"/>
      <c r="AR32" s="314"/>
      <c r="AS32" s="314"/>
      <c r="AT32" s="314"/>
      <c r="AU32" s="315"/>
      <c r="AV32" s="314"/>
      <c r="AW32" s="315"/>
      <c r="AX32" s="314"/>
      <c r="AY32" s="315"/>
      <c r="AZ32" s="314"/>
      <c r="BA32" s="315"/>
      <c r="BB32" s="314"/>
      <c r="BC32" s="314"/>
      <c r="BD32" s="315"/>
      <c r="BE32" s="314"/>
      <c r="BF32" s="57">
        <f>SUM(S32:BE32)</f>
        <v>0</v>
      </c>
      <c r="BG32" s="315"/>
      <c r="BH32" s="314"/>
      <c r="BI32" s="315"/>
      <c r="BJ32" s="314"/>
      <c r="BK32" s="314"/>
      <c r="BL32" s="315"/>
      <c r="BM32" s="314"/>
      <c r="BN32" s="315"/>
      <c r="BO32" s="314"/>
      <c r="BP32" s="314"/>
      <c r="BQ32" s="315"/>
      <c r="BR32" s="314"/>
      <c r="BS32" s="57">
        <f t="shared" si="20"/>
        <v>0</v>
      </c>
      <c r="BT32" s="314"/>
      <c r="BU32" s="315"/>
      <c r="BV32" s="315"/>
      <c r="BW32" s="57">
        <f>R32+BF32+BS32+BT32+BU32+BV32</f>
        <v>0</v>
      </c>
      <c r="BX32" s="314"/>
      <c r="BY32" s="314"/>
      <c r="BZ32" s="314"/>
      <c r="CA32" s="314"/>
      <c r="CB32" s="314"/>
      <c r="CC32" s="314"/>
      <c r="CD32" s="314"/>
      <c r="CE32" s="1090">
        <f>SUM(BX32:CD32)</f>
        <v>0</v>
      </c>
      <c r="CF32" s="315"/>
      <c r="CG32" s="315"/>
      <c r="CH32" s="57">
        <f>SUM(CK32:CV32)</f>
        <v>0</v>
      </c>
      <c r="CI32" s="57">
        <f>BW32+CE32+CF32+CG32+CH32</f>
        <v>0</v>
      </c>
      <c r="CK32" s="314"/>
      <c r="CL32" s="315"/>
      <c r="CM32" s="315"/>
      <c r="CN32" s="315"/>
      <c r="CO32" s="315"/>
      <c r="CP32" s="1074"/>
      <c r="CQ32" s="315"/>
      <c r="CR32" s="1087"/>
      <c r="CS32" s="1088"/>
      <c r="CT32" s="1088"/>
      <c r="CU32" s="1088"/>
      <c r="CV32" s="1089"/>
      <c r="CW32" s="150"/>
      <c r="CX32" s="779"/>
    </row>
    <row r="33" spans="1:102" s="55" customFormat="1" ht="12">
      <c r="A33" s="50">
        <v>381</v>
      </c>
      <c r="B33" s="41" t="s">
        <v>45</v>
      </c>
      <c r="C33" s="1373"/>
      <c r="I33" s="315"/>
      <c r="J33" s="314"/>
      <c r="K33" s="227">
        <f t="shared" si="16"/>
        <v>0</v>
      </c>
      <c r="L33" s="315"/>
      <c r="M33" s="314"/>
      <c r="N33" s="227">
        <f t="shared" si="17"/>
        <v>0</v>
      </c>
      <c r="O33" s="314"/>
      <c r="P33" s="315"/>
      <c r="Q33" s="314"/>
      <c r="R33" s="226">
        <f>K33+N33+SUM(O33:Q33)</f>
        <v>0</v>
      </c>
      <c r="S33" s="315"/>
      <c r="T33" s="314"/>
      <c r="U33" s="315"/>
      <c r="V33" s="314"/>
      <c r="W33" s="315"/>
      <c r="X33" s="314"/>
      <c r="Y33" s="315"/>
      <c r="Z33" s="314"/>
      <c r="AA33" s="315"/>
      <c r="AB33" s="314"/>
      <c r="AC33" s="315"/>
      <c r="AD33" s="314"/>
      <c r="AE33" s="315"/>
      <c r="AF33" s="314"/>
      <c r="AG33" s="315"/>
      <c r="AH33" s="314"/>
      <c r="AI33" s="315"/>
      <c r="AJ33" s="314"/>
      <c r="AK33" s="315"/>
      <c r="AL33" s="314"/>
      <c r="AM33" s="315"/>
      <c r="AN33" s="314"/>
      <c r="AO33" s="315"/>
      <c r="AP33" s="314"/>
      <c r="AQ33" s="314"/>
      <c r="AR33" s="314"/>
      <c r="AS33" s="314"/>
      <c r="AT33" s="314"/>
      <c r="AU33" s="315"/>
      <c r="AV33" s="314"/>
      <c r="AW33" s="315"/>
      <c r="AX33" s="314"/>
      <c r="AY33" s="315"/>
      <c r="AZ33" s="314"/>
      <c r="BA33" s="315"/>
      <c r="BB33" s="314"/>
      <c r="BC33" s="314"/>
      <c r="BD33" s="315"/>
      <c r="BE33" s="314"/>
      <c r="BF33" s="57">
        <f>SUM(S33:BE33)</f>
        <v>0</v>
      </c>
      <c r="BG33" s="315"/>
      <c r="BH33" s="314"/>
      <c r="BI33" s="315"/>
      <c r="BJ33" s="314"/>
      <c r="BK33" s="314"/>
      <c r="BL33" s="315"/>
      <c r="BM33" s="314"/>
      <c r="BN33" s="315"/>
      <c r="BO33" s="314"/>
      <c r="BP33" s="314"/>
      <c r="BQ33" s="315"/>
      <c r="BR33" s="314"/>
      <c r="BS33" s="57">
        <f t="shared" si="20"/>
        <v>0</v>
      </c>
      <c r="BT33" s="314"/>
      <c r="BU33" s="315"/>
      <c r="BV33" s="315"/>
      <c r="BW33" s="57">
        <f>R33+BF33+BS33+BT33+BU33+BV33</f>
        <v>0</v>
      </c>
      <c r="BX33" s="315"/>
      <c r="BY33" s="315"/>
      <c r="BZ33" s="315"/>
      <c r="CA33" s="315"/>
      <c r="CB33" s="315"/>
      <c r="CC33" s="315"/>
      <c r="CD33" s="315"/>
      <c r="CE33" s="1090">
        <f>SUM(BX33:CD33)</f>
        <v>0</v>
      </c>
      <c r="CF33" s="315"/>
      <c r="CG33" s="315"/>
      <c r="CH33" s="57">
        <f>SUM(CK33:CV33)</f>
        <v>0</v>
      </c>
      <c r="CI33" s="57">
        <f>BW33+CE33+CF33+CG33+CH33</f>
        <v>0</v>
      </c>
      <c r="CK33" s="314"/>
      <c r="CL33" s="315"/>
      <c r="CM33" s="315"/>
      <c r="CN33" s="315"/>
      <c r="CO33" s="315"/>
      <c r="CP33" s="1074"/>
      <c r="CQ33" s="315"/>
      <c r="CR33" s="1088"/>
      <c r="CS33" s="1088"/>
      <c r="CT33" s="1088"/>
      <c r="CU33" s="1088"/>
      <c r="CV33" s="1089"/>
      <c r="CW33" s="150"/>
      <c r="CX33" s="779"/>
    </row>
    <row r="34" spans="1:102" s="1101" customFormat="1" ht="12">
      <c r="A34" s="1125" t="s">
        <v>28</v>
      </c>
      <c r="B34" s="1210"/>
      <c r="C34" s="1126"/>
      <c r="I34" s="1092"/>
      <c r="J34" s="1092"/>
      <c r="K34" s="1092"/>
      <c r="L34" s="1092"/>
      <c r="M34" s="1092"/>
      <c r="N34" s="1092"/>
      <c r="O34" s="1092"/>
      <c r="P34" s="1092"/>
      <c r="Q34" s="1092"/>
      <c r="R34" s="1092"/>
      <c r="S34" s="1092"/>
      <c r="T34" s="1092"/>
      <c r="U34" s="1092"/>
      <c r="V34" s="1092"/>
      <c r="W34" s="1092"/>
      <c r="X34" s="1092"/>
      <c r="Y34" s="1092"/>
      <c r="Z34" s="1092"/>
      <c r="AA34" s="1092"/>
      <c r="AB34" s="1092"/>
      <c r="AC34" s="1092"/>
      <c r="AD34" s="1092"/>
      <c r="AE34" s="1092"/>
      <c r="AF34" s="1092"/>
      <c r="AG34" s="1092"/>
      <c r="AH34" s="1092"/>
      <c r="AI34" s="1092"/>
      <c r="AJ34" s="1092"/>
      <c r="AK34" s="1092"/>
      <c r="AL34" s="1092"/>
      <c r="AM34" s="1092"/>
      <c r="AN34" s="1092"/>
      <c r="AO34" s="1092"/>
      <c r="AP34" s="1092"/>
      <c r="AQ34" s="1092"/>
      <c r="AR34" s="1092"/>
      <c r="AS34" s="1092"/>
      <c r="AT34" s="1092"/>
      <c r="AU34" s="1092"/>
      <c r="AV34" s="1092"/>
      <c r="AW34" s="1092"/>
      <c r="AX34" s="1092"/>
      <c r="AY34" s="1092"/>
      <c r="AZ34" s="1092"/>
      <c r="BA34" s="1092"/>
      <c r="BB34" s="1092"/>
      <c r="BC34" s="1092"/>
      <c r="BD34" s="1092"/>
      <c r="BE34" s="1092"/>
      <c r="BF34" s="1092"/>
      <c r="BG34" s="1092"/>
      <c r="BH34" s="1092"/>
      <c r="BI34" s="1092"/>
      <c r="BJ34" s="1092"/>
      <c r="BK34" s="1092"/>
      <c r="BL34" s="1092"/>
      <c r="BM34" s="1092"/>
      <c r="BN34" s="1092"/>
      <c r="BO34" s="1092"/>
      <c r="BP34" s="1092"/>
      <c r="BQ34" s="1092"/>
      <c r="BR34" s="1092"/>
      <c r="BS34" s="1092"/>
      <c r="BT34" s="1092"/>
      <c r="BU34" s="1092"/>
      <c r="BV34" s="1092"/>
      <c r="BW34" s="1092"/>
      <c r="BX34" s="1092"/>
      <c r="BY34" s="1092"/>
      <c r="BZ34" s="1092"/>
      <c r="CA34" s="1092"/>
      <c r="CB34" s="1092"/>
      <c r="CC34" s="1092"/>
      <c r="CD34" s="1092"/>
      <c r="CE34" s="1092"/>
      <c r="CF34" s="1092"/>
      <c r="CG34" s="1092"/>
      <c r="CH34" s="1092"/>
      <c r="CI34" s="1092"/>
      <c r="CK34" s="1092"/>
      <c r="CL34" s="1092"/>
      <c r="CM34" s="1092"/>
      <c r="CN34" s="1092"/>
      <c r="CO34" s="1092"/>
      <c r="CP34" s="1092"/>
      <c r="CQ34" s="1092"/>
      <c r="CR34" s="1092"/>
      <c r="CS34" s="1211"/>
      <c r="CT34" s="1211"/>
      <c r="CU34" s="1211"/>
      <c r="CW34" s="1208"/>
      <c r="CX34" s="1209"/>
    </row>
    <row r="35" spans="1:102" s="55" customFormat="1" ht="12">
      <c r="A35" s="50">
        <v>480</v>
      </c>
      <c r="B35" s="41" t="s">
        <v>48</v>
      </c>
      <c r="C35" s="99" t="s">
        <v>27</v>
      </c>
      <c r="I35" s="314"/>
      <c r="J35" s="314"/>
      <c r="K35" s="227">
        <f t="shared" si="16"/>
        <v>0</v>
      </c>
      <c r="L35" s="314"/>
      <c r="M35" s="314"/>
      <c r="N35" s="227">
        <f t="shared" si="17"/>
        <v>0</v>
      </c>
      <c r="O35" s="314"/>
      <c r="P35" s="314"/>
      <c r="Q35" s="314"/>
      <c r="R35" s="226">
        <f>K35+N35+SUM(O35:Q35)</f>
        <v>0</v>
      </c>
      <c r="S35" s="314"/>
      <c r="T35" s="314"/>
      <c r="U35" s="314"/>
      <c r="V35" s="314"/>
      <c r="W35" s="314"/>
      <c r="X35" s="314"/>
      <c r="Y35" s="314"/>
      <c r="Z35" s="314"/>
      <c r="AA35" s="314"/>
      <c r="AB35" s="314"/>
      <c r="AC35" s="314"/>
      <c r="AD35" s="314"/>
      <c r="AE35" s="314"/>
      <c r="AF35" s="314"/>
      <c r="AG35" s="314"/>
      <c r="AH35" s="314"/>
      <c r="AI35" s="314"/>
      <c r="AJ35" s="314"/>
      <c r="AK35" s="314"/>
      <c r="AL35" s="314"/>
      <c r="AM35" s="314"/>
      <c r="AN35" s="314"/>
      <c r="AO35" s="314"/>
      <c r="AP35" s="314"/>
      <c r="AQ35" s="314"/>
      <c r="AR35" s="314"/>
      <c r="AS35" s="314"/>
      <c r="AT35" s="314"/>
      <c r="AU35" s="314"/>
      <c r="AV35" s="314"/>
      <c r="AW35" s="314"/>
      <c r="AX35" s="314"/>
      <c r="AY35" s="314"/>
      <c r="AZ35" s="314"/>
      <c r="BA35" s="314"/>
      <c r="BB35" s="314"/>
      <c r="BC35" s="314"/>
      <c r="BD35" s="314"/>
      <c r="BE35" s="314"/>
      <c r="BF35" s="57">
        <f>SUM(S35:BE35)</f>
        <v>0</v>
      </c>
      <c r="BG35" s="314"/>
      <c r="BH35" s="314"/>
      <c r="BI35" s="314"/>
      <c r="BJ35" s="314"/>
      <c r="BK35" s="314"/>
      <c r="BL35" s="314"/>
      <c r="BM35" s="314"/>
      <c r="BN35" s="314"/>
      <c r="BO35" s="314"/>
      <c r="BP35" s="314"/>
      <c r="BQ35" s="314"/>
      <c r="BR35" s="314"/>
      <c r="BS35" s="57">
        <f t="shared" si="20"/>
        <v>0</v>
      </c>
      <c r="BT35" s="314"/>
      <c r="BU35" s="314"/>
      <c r="BV35" s="314"/>
      <c r="BW35" s="57">
        <f>R35+BF35+BS35+BT35+BU35+BV35</f>
        <v>0</v>
      </c>
      <c r="BX35" s="315"/>
      <c r="BY35" s="315"/>
      <c r="BZ35" s="315"/>
      <c r="CA35" s="315"/>
      <c r="CB35" s="315"/>
      <c r="CC35" s="315"/>
      <c r="CD35" s="315"/>
      <c r="CE35" s="1090">
        <f>SUM(BX35:CD35)</f>
        <v>0</v>
      </c>
      <c r="CF35" s="315"/>
      <c r="CG35" s="315"/>
      <c r="CH35" s="57">
        <f>SUM(CK35:CV35)</f>
        <v>0</v>
      </c>
      <c r="CI35" s="57">
        <f>BW35+CE35+CF35+CG35+CH35</f>
        <v>0</v>
      </c>
      <c r="CK35" s="315"/>
      <c r="CL35" s="315"/>
      <c r="CM35" s="315"/>
      <c r="CN35" s="315"/>
      <c r="CO35" s="315"/>
      <c r="CP35" s="315"/>
      <c r="CQ35" s="315"/>
      <c r="CR35" s="1088"/>
      <c r="CS35" s="1088"/>
      <c r="CT35" s="1088"/>
      <c r="CU35" s="1087"/>
      <c r="CV35" s="1089"/>
      <c r="CW35" s="150"/>
      <c r="CX35" s="779"/>
    </row>
    <row r="36" spans="1:102" s="55" customFormat="1" ht="12">
      <c r="A36" s="50">
        <v>485</v>
      </c>
      <c r="B36" s="41" t="s">
        <v>29</v>
      </c>
      <c r="C36" s="99" t="s">
        <v>27</v>
      </c>
      <c r="I36" s="314"/>
      <c r="J36" s="314"/>
      <c r="K36" s="227">
        <f t="shared" si="16"/>
        <v>0</v>
      </c>
      <c r="L36" s="314"/>
      <c r="M36" s="314"/>
      <c r="N36" s="227">
        <f t="shared" si="17"/>
        <v>0</v>
      </c>
      <c r="O36" s="314"/>
      <c r="P36" s="314"/>
      <c r="Q36" s="314"/>
      <c r="R36" s="226">
        <f>K36+N36+SUM(O36:Q36)</f>
        <v>0</v>
      </c>
      <c r="S36" s="314"/>
      <c r="T36" s="314"/>
      <c r="U36" s="314"/>
      <c r="V36" s="314"/>
      <c r="W36" s="314"/>
      <c r="X36" s="314"/>
      <c r="Y36" s="314"/>
      <c r="Z36" s="314"/>
      <c r="AA36" s="314"/>
      <c r="AB36" s="314"/>
      <c r="AC36" s="314"/>
      <c r="AD36" s="314"/>
      <c r="AE36" s="314"/>
      <c r="AF36" s="314"/>
      <c r="AG36" s="314"/>
      <c r="AH36" s="314"/>
      <c r="AI36" s="314"/>
      <c r="AJ36" s="314"/>
      <c r="AK36" s="314"/>
      <c r="AL36" s="314"/>
      <c r="AM36" s="314"/>
      <c r="AN36" s="314"/>
      <c r="AO36" s="314"/>
      <c r="AP36" s="314"/>
      <c r="AQ36" s="314"/>
      <c r="AR36" s="314"/>
      <c r="AS36" s="314"/>
      <c r="AT36" s="314"/>
      <c r="AU36" s="314"/>
      <c r="AV36" s="314"/>
      <c r="AW36" s="314"/>
      <c r="AX36" s="314"/>
      <c r="AY36" s="314"/>
      <c r="AZ36" s="314"/>
      <c r="BA36" s="314"/>
      <c r="BB36" s="314"/>
      <c r="BC36" s="314"/>
      <c r="BD36" s="314"/>
      <c r="BE36" s="314"/>
      <c r="BF36" s="57">
        <f>SUM(S36:BE36)</f>
        <v>0</v>
      </c>
      <c r="BG36" s="314"/>
      <c r="BH36" s="314"/>
      <c r="BI36" s="314"/>
      <c r="BJ36" s="314"/>
      <c r="BK36" s="314"/>
      <c r="BL36" s="314"/>
      <c r="BM36" s="314"/>
      <c r="BN36" s="314"/>
      <c r="BO36" s="314"/>
      <c r="BP36" s="314"/>
      <c r="BQ36" s="314"/>
      <c r="BR36" s="314"/>
      <c r="BS36" s="57">
        <f t="shared" si="20"/>
        <v>0</v>
      </c>
      <c r="BT36" s="314"/>
      <c r="BU36" s="314"/>
      <c r="BV36" s="314"/>
      <c r="BW36" s="57">
        <f>R36+BF36+BS36+BT36+BU36+BV36</f>
        <v>0</v>
      </c>
      <c r="BX36" s="314"/>
      <c r="BY36" s="314"/>
      <c r="BZ36" s="314"/>
      <c r="CA36" s="314"/>
      <c r="CB36" s="314"/>
      <c r="CC36" s="314"/>
      <c r="CD36" s="314"/>
      <c r="CE36" s="1090">
        <f>SUM(BX36:CD36)</f>
        <v>0</v>
      </c>
      <c r="CF36" s="315"/>
      <c r="CG36" s="315"/>
      <c r="CH36" s="57">
        <f>SUM(CK36:CV36)</f>
        <v>0</v>
      </c>
      <c r="CI36" s="57">
        <f>BW36+CE36+CF36+CG36+CH36</f>
        <v>0</v>
      </c>
      <c r="CK36" s="315"/>
      <c r="CL36" s="315"/>
      <c r="CM36" s="315"/>
      <c r="CN36" s="315"/>
      <c r="CO36" s="315"/>
      <c r="CP36" s="315"/>
      <c r="CQ36" s="315"/>
      <c r="CR36" s="1088"/>
      <c r="CS36" s="1088"/>
      <c r="CT36" s="1088"/>
      <c r="CU36" s="1087"/>
      <c r="CV36" s="1089"/>
      <c r="CW36" s="150"/>
      <c r="CX36" s="779"/>
    </row>
    <row r="37" spans="1:102" s="55" customFormat="1" ht="12">
      <c r="A37" s="50">
        <v>486</v>
      </c>
      <c r="B37" s="41" t="s">
        <v>30</v>
      </c>
      <c r="C37" s="99" t="s">
        <v>27</v>
      </c>
      <c r="I37" s="314"/>
      <c r="J37" s="314"/>
      <c r="K37" s="227">
        <f t="shared" si="16"/>
        <v>0</v>
      </c>
      <c r="L37" s="314"/>
      <c r="M37" s="314"/>
      <c r="N37" s="227">
        <f t="shared" si="17"/>
        <v>0</v>
      </c>
      <c r="O37" s="314"/>
      <c r="P37" s="314"/>
      <c r="Q37" s="314"/>
      <c r="R37" s="226">
        <f>K37+N37+SUM(O37:Q37)</f>
        <v>0</v>
      </c>
      <c r="S37" s="314"/>
      <c r="T37" s="314"/>
      <c r="U37" s="314"/>
      <c r="V37" s="314"/>
      <c r="W37" s="314"/>
      <c r="X37" s="314"/>
      <c r="Y37" s="314"/>
      <c r="Z37" s="314"/>
      <c r="AA37" s="314"/>
      <c r="AB37" s="314"/>
      <c r="AC37" s="314"/>
      <c r="AD37" s="314"/>
      <c r="AE37" s="314"/>
      <c r="AF37" s="314"/>
      <c r="AG37" s="314"/>
      <c r="AH37" s="314"/>
      <c r="AI37" s="314"/>
      <c r="AJ37" s="314"/>
      <c r="AK37" s="314"/>
      <c r="AL37" s="314"/>
      <c r="AM37" s="314"/>
      <c r="AN37" s="314"/>
      <c r="AO37" s="314"/>
      <c r="AP37" s="314"/>
      <c r="AQ37" s="314"/>
      <c r="AR37" s="314"/>
      <c r="AS37" s="314"/>
      <c r="AT37" s="314"/>
      <c r="AU37" s="314"/>
      <c r="AV37" s="314"/>
      <c r="AW37" s="314"/>
      <c r="AX37" s="314"/>
      <c r="AY37" s="314"/>
      <c r="AZ37" s="314"/>
      <c r="BA37" s="314"/>
      <c r="BB37" s="314"/>
      <c r="BC37" s="314"/>
      <c r="BD37" s="314"/>
      <c r="BE37" s="314"/>
      <c r="BF37" s="57">
        <f>SUM(S37:BE37)</f>
        <v>0</v>
      </c>
      <c r="BG37" s="314"/>
      <c r="BH37" s="314"/>
      <c r="BI37" s="314"/>
      <c r="BJ37" s="314"/>
      <c r="BK37" s="314"/>
      <c r="BL37" s="314"/>
      <c r="BM37" s="314"/>
      <c r="BN37" s="314"/>
      <c r="BO37" s="314"/>
      <c r="BP37" s="314"/>
      <c r="BQ37" s="314"/>
      <c r="BR37" s="314"/>
      <c r="BS37" s="57">
        <f t="shared" si="20"/>
        <v>0</v>
      </c>
      <c r="BT37" s="314"/>
      <c r="BU37" s="314"/>
      <c r="BV37" s="314"/>
      <c r="BW37" s="57">
        <f>R37+BF37+BS37+BT37+BU37+BV37</f>
        <v>0</v>
      </c>
      <c r="BX37" s="314"/>
      <c r="BY37" s="314"/>
      <c r="BZ37" s="314"/>
      <c r="CA37" s="314"/>
      <c r="CB37" s="314"/>
      <c r="CC37" s="314"/>
      <c r="CD37" s="314"/>
      <c r="CE37" s="1090">
        <f>SUM(BX37:CD37)</f>
        <v>0</v>
      </c>
      <c r="CF37" s="315"/>
      <c r="CG37" s="315"/>
      <c r="CH37" s="57">
        <f>SUM(CK37:CV37)</f>
        <v>0</v>
      </c>
      <c r="CI37" s="57">
        <f>BW37+CE37+CF37+CG37+CH37</f>
        <v>0</v>
      </c>
      <c r="CK37" s="315"/>
      <c r="CL37" s="315"/>
      <c r="CM37" s="315"/>
      <c r="CN37" s="315"/>
      <c r="CO37" s="315"/>
      <c r="CP37" s="315"/>
      <c r="CQ37" s="315"/>
      <c r="CR37" s="1088"/>
      <c r="CS37" s="1088"/>
      <c r="CT37" s="1088"/>
      <c r="CU37" s="1088"/>
      <c r="CV37" s="1083"/>
      <c r="CW37" s="91"/>
      <c r="CX37" s="779">
        <f>SUM(CI35:CI37)-'ITAR_K Gesamtansicht'!CI11+'ITAR_K Gesamtansicht'!F11</f>
        <v>0</v>
      </c>
    </row>
    <row r="38" spans="1:102" s="1149" customFormat="1">
      <c r="A38" s="1145" t="s">
        <v>31</v>
      </c>
      <c r="B38" s="1205"/>
      <c r="C38" s="1206"/>
      <c r="I38" s="1093">
        <f>SUM(I25:I37)</f>
        <v>0</v>
      </c>
      <c r="J38" s="1093">
        <f>SUM(J25:J37)</f>
        <v>0</v>
      </c>
      <c r="K38" s="1093">
        <f t="shared" si="16"/>
        <v>0</v>
      </c>
      <c r="L38" s="1093">
        <f>SUM(L25:L37)</f>
        <v>0</v>
      </c>
      <c r="M38" s="1093">
        <f>SUM(M25:M37)</f>
        <v>0</v>
      </c>
      <c r="N38" s="1093">
        <f t="shared" si="17"/>
        <v>0</v>
      </c>
      <c r="O38" s="1093">
        <f t="shared" ref="O38:BE38" si="25">SUM(O25:O37)</f>
        <v>0</v>
      </c>
      <c r="P38" s="1093">
        <f t="shared" si="25"/>
        <v>0</v>
      </c>
      <c r="Q38" s="1093">
        <f t="shared" si="25"/>
        <v>0</v>
      </c>
      <c r="R38" s="1093">
        <f t="shared" si="25"/>
        <v>0</v>
      </c>
      <c r="S38" s="1093">
        <f t="shared" si="25"/>
        <v>0</v>
      </c>
      <c r="T38" s="1093">
        <f t="shared" si="25"/>
        <v>0</v>
      </c>
      <c r="U38" s="1093">
        <f t="shared" si="25"/>
        <v>0</v>
      </c>
      <c r="V38" s="1093">
        <f t="shared" si="25"/>
        <v>0</v>
      </c>
      <c r="W38" s="1093">
        <f t="shared" si="25"/>
        <v>0</v>
      </c>
      <c r="X38" s="1093">
        <f t="shared" si="25"/>
        <v>0</v>
      </c>
      <c r="Y38" s="1093">
        <f t="shared" si="25"/>
        <v>0</v>
      </c>
      <c r="Z38" s="1093">
        <f t="shared" si="25"/>
        <v>0</v>
      </c>
      <c r="AA38" s="1093">
        <f t="shared" si="25"/>
        <v>0</v>
      </c>
      <c r="AB38" s="1093">
        <f t="shared" si="25"/>
        <v>0</v>
      </c>
      <c r="AC38" s="1093">
        <f t="shared" si="25"/>
        <v>0</v>
      </c>
      <c r="AD38" s="1093">
        <f t="shared" si="25"/>
        <v>0</v>
      </c>
      <c r="AE38" s="1093">
        <f t="shared" si="25"/>
        <v>0</v>
      </c>
      <c r="AF38" s="1093">
        <f t="shared" si="25"/>
        <v>0</v>
      </c>
      <c r="AG38" s="1093">
        <f t="shared" si="25"/>
        <v>0</v>
      </c>
      <c r="AH38" s="1093">
        <f t="shared" si="25"/>
        <v>0</v>
      </c>
      <c r="AI38" s="1093">
        <f t="shared" si="25"/>
        <v>0</v>
      </c>
      <c r="AJ38" s="1093">
        <f t="shared" si="25"/>
        <v>0</v>
      </c>
      <c r="AK38" s="1093">
        <f t="shared" si="25"/>
        <v>0</v>
      </c>
      <c r="AL38" s="1093">
        <f t="shared" si="25"/>
        <v>0</v>
      </c>
      <c r="AM38" s="1093">
        <f t="shared" si="25"/>
        <v>0</v>
      </c>
      <c r="AN38" s="1093">
        <f t="shared" si="25"/>
        <v>0</v>
      </c>
      <c r="AO38" s="1093">
        <f t="shared" si="25"/>
        <v>0</v>
      </c>
      <c r="AP38" s="1093">
        <f t="shared" si="25"/>
        <v>0</v>
      </c>
      <c r="AQ38" s="1093">
        <f t="shared" si="25"/>
        <v>0</v>
      </c>
      <c r="AR38" s="1093">
        <f t="shared" si="25"/>
        <v>0</v>
      </c>
      <c r="AS38" s="1093">
        <f t="shared" si="25"/>
        <v>0</v>
      </c>
      <c r="AT38" s="1093">
        <f t="shared" si="25"/>
        <v>0</v>
      </c>
      <c r="AU38" s="1093">
        <f t="shared" si="25"/>
        <v>0</v>
      </c>
      <c r="AV38" s="1093">
        <f t="shared" si="25"/>
        <v>0</v>
      </c>
      <c r="AW38" s="1093">
        <f t="shared" si="25"/>
        <v>0</v>
      </c>
      <c r="AX38" s="1093">
        <f t="shared" si="25"/>
        <v>0</v>
      </c>
      <c r="AY38" s="1093">
        <f t="shared" si="25"/>
        <v>0</v>
      </c>
      <c r="AZ38" s="1093">
        <f t="shared" si="25"/>
        <v>0</v>
      </c>
      <c r="BA38" s="1093">
        <f t="shared" si="25"/>
        <v>0</v>
      </c>
      <c r="BB38" s="1093">
        <f t="shared" si="25"/>
        <v>0</v>
      </c>
      <c r="BC38" s="1093">
        <f t="shared" si="25"/>
        <v>0</v>
      </c>
      <c r="BD38" s="1093">
        <f t="shared" si="25"/>
        <v>0</v>
      </c>
      <c r="BE38" s="1093">
        <f t="shared" si="25"/>
        <v>0</v>
      </c>
      <c r="BF38" s="1093">
        <f>SUM(S38:BE38)</f>
        <v>0</v>
      </c>
      <c r="BG38" s="1093">
        <f t="shared" ref="BG38:BR38" si="26">SUM(BG25:BG37)</f>
        <v>0</v>
      </c>
      <c r="BH38" s="1093">
        <f t="shared" si="26"/>
        <v>0</v>
      </c>
      <c r="BI38" s="1093">
        <f t="shared" si="26"/>
        <v>0</v>
      </c>
      <c r="BJ38" s="1093">
        <f t="shared" si="26"/>
        <v>0</v>
      </c>
      <c r="BK38" s="1093">
        <f t="shared" si="26"/>
        <v>0</v>
      </c>
      <c r="BL38" s="1093">
        <f t="shared" si="26"/>
        <v>0</v>
      </c>
      <c r="BM38" s="1093">
        <f t="shared" si="26"/>
        <v>0</v>
      </c>
      <c r="BN38" s="1093">
        <f t="shared" si="26"/>
        <v>0</v>
      </c>
      <c r="BO38" s="1093">
        <f t="shared" si="26"/>
        <v>0</v>
      </c>
      <c r="BP38" s="1093">
        <f t="shared" si="26"/>
        <v>0</v>
      </c>
      <c r="BQ38" s="1093">
        <f t="shared" si="26"/>
        <v>0</v>
      </c>
      <c r="BR38" s="1093">
        <f t="shared" si="26"/>
        <v>0</v>
      </c>
      <c r="BS38" s="1093">
        <f>SUM(BG38:BR38)</f>
        <v>0</v>
      </c>
      <c r="BT38" s="1093">
        <f t="shared" ref="BT38:CD38" si="27">SUM(BT25:BT37)</f>
        <v>0</v>
      </c>
      <c r="BU38" s="1093">
        <f t="shared" si="27"/>
        <v>0</v>
      </c>
      <c r="BV38" s="1093">
        <f t="shared" si="27"/>
        <v>0</v>
      </c>
      <c r="BW38" s="1093">
        <f t="shared" si="27"/>
        <v>0</v>
      </c>
      <c r="BX38" s="1093">
        <f t="shared" si="27"/>
        <v>0</v>
      </c>
      <c r="BY38" s="1093">
        <f t="shared" si="27"/>
        <v>0</v>
      </c>
      <c r="BZ38" s="1093">
        <f t="shared" si="27"/>
        <v>0</v>
      </c>
      <c r="CA38" s="1093">
        <f t="shared" si="27"/>
        <v>0</v>
      </c>
      <c r="CB38" s="1093">
        <f t="shared" si="27"/>
        <v>0</v>
      </c>
      <c r="CC38" s="1093">
        <f t="shared" si="27"/>
        <v>0</v>
      </c>
      <c r="CD38" s="1093">
        <f t="shared" si="27"/>
        <v>0</v>
      </c>
      <c r="CE38" s="1093">
        <f>SUM(BX38:CD38)</f>
        <v>0</v>
      </c>
      <c r="CF38" s="1093">
        <f>SUM(CF25:CF37)</f>
        <v>0</v>
      </c>
      <c r="CG38" s="1093">
        <f>SUM(CG25:CG37)</f>
        <v>0</v>
      </c>
      <c r="CH38" s="1093">
        <f>SUM(CH25:CH37)</f>
        <v>0</v>
      </c>
      <c r="CI38" s="1093">
        <f>SUM(CI25:CI37)</f>
        <v>0</v>
      </c>
      <c r="CK38" s="1093">
        <f t="shared" ref="CK38:CV38" si="28">SUM(CK25:CK37)</f>
        <v>0</v>
      </c>
      <c r="CL38" s="1093">
        <f t="shared" si="28"/>
        <v>0</v>
      </c>
      <c r="CM38" s="1093">
        <f t="shared" si="28"/>
        <v>0</v>
      </c>
      <c r="CN38" s="1093">
        <f t="shared" si="28"/>
        <v>0</v>
      </c>
      <c r="CO38" s="1093">
        <f t="shared" si="28"/>
        <v>0</v>
      </c>
      <c r="CP38" s="1093">
        <f t="shared" si="28"/>
        <v>0</v>
      </c>
      <c r="CQ38" s="1093">
        <f t="shared" si="28"/>
        <v>0</v>
      </c>
      <c r="CR38" s="1095">
        <f t="shared" si="28"/>
        <v>0</v>
      </c>
      <c r="CS38" s="1095">
        <f t="shared" si="28"/>
        <v>0</v>
      </c>
      <c r="CT38" s="1095">
        <f t="shared" si="28"/>
        <v>0</v>
      </c>
      <c r="CU38" s="1095">
        <f t="shared" si="28"/>
        <v>0</v>
      </c>
      <c r="CV38" s="1095">
        <f t="shared" si="28"/>
        <v>0</v>
      </c>
      <c r="CW38" s="1096">
        <f>SUM(CK38:CU38)</f>
        <v>0</v>
      </c>
      <c r="CX38" s="1097"/>
    </row>
    <row r="39" spans="1:102" s="1101" customFormat="1" ht="7.5" customHeight="1">
      <c r="A39" s="1199"/>
      <c r="B39" s="1199"/>
      <c r="C39" s="1200"/>
      <c r="I39" s="1098"/>
      <c r="J39" s="1098"/>
      <c r="K39" s="1098"/>
      <c r="L39" s="1098"/>
      <c r="M39" s="1098"/>
      <c r="N39" s="1098"/>
      <c r="O39" s="1098"/>
      <c r="P39" s="1098"/>
      <c r="Q39" s="1098"/>
      <c r="R39" s="1098"/>
      <c r="S39" s="1098"/>
      <c r="T39" s="1098"/>
      <c r="U39" s="1098"/>
      <c r="V39" s="1098"/>
      <c r="W39" s="1098"/>
      <c r="X39" s="1098"/>
      <c r="Y39" s="1098"/>
      <c r="Z39" s="1098"/>
      <c r="AA39" s="1098"/>
      <c r="AB39" s="1098"/>
      <c r="AC39" s="1098"/>
      <c r="AD39" s="1098"/>
      <c r="AE39" s="1098"/>
      <c r="AF39" s="1098"/>
      <c r="AG39" s="1098"/>
      <c r="AH39" s="1098"/>
      <c r="AI39" s="1098"/>
      <c r="AJ39" s="1098"/>
      <c r="AK39" s="1098"/>
      <c r="AL39" s="1098"/>
      <c r="AM39" s="1098"/>
      <c r="AN39" s="1098"/>
      <c r="AO39" s="1098"/>
      <c r="AP39" s="1098"/>
      <c r="AQ39" s="1098"/>
      <c r="AR39" s="1098"/>
      <c r="AS39" s="1098"/>
      <c r="AT39" s="1098"/>
      <c r="AU39" s="1098"/>
      <c r="AV39" s="1098"/>
      <c r="AW39" s="1098"/>
      <c r="AX39" s="1098"/>
      <c r="AY39" s="1098"/>
      <c r="AZ39" s="1098"/>
      <c r="BA39" s="1098"/>
      <c r="BB39" s="1098"/>
      <c r="BC39" s="1098"/>
      <c r="BD39" s="1098"/>
      <c r="BE39" s="1098"/>
      <c r="BF39" s="1098"/>
      <c r="BG39" s="1098"/>
      <c r="BH39" s="1098"/>
      <c r="BI39" s="1098"/>
      <c r="BJ39" s="1098"/>
      <c r="BK39" s="1098"/>
      <c r="BL39" s="1098"/>
      <c r="BM39" s="1098"/>
      <c r="BN39" s="1098"/>
      <c r="BO39" s="1098"/>
      <c r="BP39" s="1098"/>
      <c r="BQ39" s="1098"/>
      <c r="BR39" s="1098"/>
      <c r="BS39" s="1098"/>
      <c r="BT39" s="1098"/>
      <c r="BU39" s="1098"/>
      <c r="BV39" s="1098"/>
      <c r="BW39" s="1098"/>
      <c r="BX39" s="1098"/>
      <c r="BY39" s="1098"/>
      <c r="BZ39" s="1098"/>
      <c r="CA39" s="1098"/>
      <c r="CB39" s="1098"/>
      <c r="CC39" s="1098"/>
      <c r="CD39" s="1098"/>
      <c r="CE39" s="1098"/>
      <c r="CF39" s="1098"/>
      <c r="CG39" s="1098"/>
      <c r="CH39" s="1098"/>
      <c r="CI39" s="1098"/>
      <c r="CK39" s="1099"/>
      <c r="CL39" s="1099"/>
      <c r="CM39" s="1099"/>
      <c r="CN39" s="1099"/>
      <c r="CO39" s="1099"/>
      <c r="CP39" s="1099"/>
      <c r="CQ39" s="1099"/>
      <c r="CR39" s="1099"/>
      <c r="CS39" s="1100"/>
      <c r="CT39" s="1100"/>
      <c r="CU39" s="1100"/>
      <c r="CX39" s="1102"/>
    </row>
    <row r="40" spans="1:102" s="1101" customFormat="1" ht="12">
      <c r="A40" s="1212" t="s">
        <v>32</v>
      </c>
      <c r="B40" s="1213"/>
      <c r="C40" s="1214" t="s">
        <v>25</v>
      </c>
      <c r="I40" s="1104"/>
      <c r="J40" s="1104"/>
      <c r="K40" s="1104"/>
      <c r="L40" s="1104"/>
      <c r="M40" s="1104"/>
      <c r="N40" s="1104"/>
      <c r="O40" s="1104"/>
      <c r="P40" s="1104"/>
      <c r="Q40" s="1104"/>
      <c r="R40" s="1104"/>
      <c r="S40" s="1104"/>
      <c r="T40" s="1104"/>
      <c r="U40" s="1104"/>
      <c r="V40" s="1104"/>
      <c r="W40" s="1104"/>
      <c r="X40" s="1104"/>
      <c r="Y40" s="1104"/>
      <c r="Z40" s="1104"/>
      <c r="AA40" s="1104"/>
      <c r="AB40" s="1104"/>
      <c r="AC40" s="1104"/>
      <c r="AD40" s="1104"/>
      <c r="AE40" s="1104"/>
      <c r="AF40" s="1104"/>
      <c r="AG40" s="1104"/>
      <c r="AH40" s="1104"/>
      <c r="AI40" s="1104"/>
      <c r="AJ40" s="1104"/>
      <c r="AK40" s="1104"/>
      <c r="AL40" s="1104"/>
      <c r="AM40" s="1104"/>
      <c r="AN40" s="1104"/>
      <c r="AO40" s="1104"/>
      <c r="AP40" s="1104"/>
      <c r="AQ40" s="1104"/>
      <c r="AR40" s="1104"/>
      <c r="AS40" s="1104"/>
      <c r="AT40" s="1104"/>
      <c r="AU40" s="1104"/>
      <c r="AV40" s="1104"/>
      <c r="AW40" s="1104"/>
      <c r="AX40" s="1104"/>
      <c r="AY40" s="1104"/>
      <c r="AZ40" s="1104"/>
      <c r="BA40" s="1104"/>
      <c r="BB40" s="1104"/>
      <c r="BC40" s="1104"/>
      <c r="BD40" s="1104"/>
      <c r="BE40" s="1104"/>
      <c r="BF40" s="1104"/>
      <c r="BG40" s="1104"/>
      <c r="BH40" s="1104"/>
      <c r="BI40" s="1104"/>
      <c r="BJ40" s="1104"/>
      <c r="BK40" s="1104"/>
      <c r="BL40" s="1104"/>
      <c r="BM40" s="1104"/>
      <c r="BN40" s="1104"/>
      <c r="BO40" s="1104"/>
      <c r="BP40" s="1104"/>
      <c r="BQ40" s="1104"/>
      <c r="BR40" s="1104"/>
      <c r="BS40" s="1104"/>
      <c r="BT40" s="1104"/>
      <c r="BU40" s="1104"/>
      <c r="BV40" s="1104"/>
      <c r="BW40" s="1104"/>
      <c r="BX40" s="1103"/>
      <c r="BY40" s="1103"/>
      <c r="BZ40" s="1103"/>
      <c r="CA40" s="1103"/>
      <c r="CB40" s="1103"/>
      <c r="CC40" s="1103"/>
      <c r="CD40" s="1103"/>
      <c r="CE40" s="1104"/>
      <c r="CF40" s="1104"/>
      <c r="CG40" s="1104"/>
      <c r="CH40" s="1104"/>
      <c r="CI40" s="1104"/>
      <c r="CK40" s="1104"/>
      <c r="CL40" s="1104"/>
      <c r="CM40" s="1104"/>
      <c r="CN40" s="1104"/>
      <c r="CO40" s="1104"/>
      <c r="CP40" s="1104"/>
      <c r="CQ40" s="1104"/>
      <c r="CR40" s="1104"/>
      <c r="CS40" s="1104"/>
      <c r="CT40" s="1104"/>
      <c r="CU40" s="1104"/>
      <c r="CV40" s="1104"/>
      <c r="CW40" s="1104"/>
      <c r="CX40" s="1105"/>
    </row>
    <row r="41" spans="1:102" s="1101" customFormat="1" ht="12">
      <c r="A41" s="1215" t="s">
        <v>33</v>
      </c>
      <c r="B41" s="1216"/>
      <c r="C41" s="1217"/>
      <c r="I41" s="1106"/>
      <c r="J41" s="1106"/>
      <c r="K41" s="1106"/>
      <c r="L41" s="1106"/>
      <c r="M41" s="1106"/>
      <c r="N41" s="1106"/>
      <c r="O41" s="1106"/>
      <c r="P41" s="1106"/>
      <c r="Q41" s="1106"/>
      <c r="R41" s="1106"/>
      <c r="S41" s="1106"/>
      <c r="T41" s="1106"/>
      <c r="U41" s="1106"/>
      <c r="V41" s="1106"/>
      <c r="W41" s="1106"/>
      <c r="X41" s="1106"/>
      <c r="Y41" s="1106"/>
      <c r="Z41" s="1106"/>
      <c r="AA41" s="1106"/>
      <c r="AB41" s="1106"/>
      <c r="AC41" s="1106"/>
      <c r="AD41" s="1106"/>
      <c r="AE41" s="1106"/>
      <c r="AF41" s="1106"/>
      <c r="AG41" s="1106"/>
      <c r="AH41" s="1106"/>
      <c r="AI41" s="1106"/>
      <c r="AJ41" s="1106"/>
      <c r="AK41" s="1106"/>
      <c r="AL41" s="1106"/>
      <c r="AM41" s="1106"/>
      <c r="AN41" s="1106"/>
      <c r="AO41" s="1106"/>
      <c r="AP41" s="1106"/>
      <c r="AQ41" s="1106"/>
      <c r="AR41" s="1106"/>
      <c r="AS41" s="1106"/>
      <c r="AT41" s="1106"/>
      <c r="AU41" s="1106"/>
      <c r="AV41" s="1106"/>
      <c r="AW41" s="1106"/>
      <c r="AX41" s="1106"/>
      <c r="AY41" s="1106"/>
      <c r="AZ41" s="1106"/>
      <c r="BA41" s="1106"/>
      <c r="BB41" s="1106"/>
      <c r="BC41" s="1106"/>
      <c r="BD41" s="1106"/>
      <c r="BE41" s="1106"/>
      <c r="BF41" s="1106"/>
      <c r="BG41" s="1106"/>
      <c r="BH41" s="1106"/>
      <c r="BI41" s="1106"/>
      <c r="BJ41" s="1106"/>
      <c r="BK41" s="1106"/>
      <c r="BL41" s="1106"/>
      <c r="BM41" s="1106"/>
      <c r="BN41" s="1106"/>
      <c r="BO41" s="1106"/>
      <c r="BP41" s="1106"/>
      <c r="BQ41" s="1106"/>
      <c r="BR41" s="1106"/>
      <c r="BS41" s="1106"/>
      <c r="BT41" s="1106"/>
      <c r="BU41" s="1106"/>
      <c r="BV41" s="1106"/>
      <c r="BW41" s="1106"/>
      <c r="BX41" s="1106"/>
      <c r="BY41" s="1106"/>
      <c r="BZ41" s="1106"/>
      <c r="CA41" s="1106"/>
      <c r="CB41" s="1106"/>
      <c r="CC41" s="1106"/>
      <c r="CD41" s="1106"/>
      <c r="CE41" s="1106"/>
      <c r="CF41" s="1106"/>
      <c r="CG41" s="1106"/>
      <c r="CH41" s="1106"/>
      <c r="CI41" s="1106"/>
      <c r="CK41" s="1107"/>
      <c r="CL41" s="1107"/>
      <c r="CM41" s="1107"/>
      <c r="CN41" s="1107"/>
      <c r="CO41" s="1107"/>
      <c r="CP41" s="1107"/>
      <c r="CQ41" s="1107"/>
      <c r="CR41" s="1107"/>
      <c r="CS41" s="1100"/>
      <c r="CT41" s="1100"/>
      <c r="CU41" s="1100"/>
      <c r="CW41" s="1108"/>
      <c r="CX41" s="1109"/>
    </row>
    <row r="42" spans="1:102" s="55" customFormat="1" ht="12">
      <c r="A42" s="50">
        <v>10</v>
      </c>
      <c r="B42" s="46" t="s">
        <v>34</v>
      </c>
      <c r="C42" s="99" t="s">
        <v>49</v>
      </c>
      <c r="I42" s="314"/>
      <c r="J42" s="314"/>
      <c r="K42" s="227">
        <f>SUM(I42+J42)</f>
        <v>0</v>
      </c>
      <c r="L42" s="314"/>
      <c r="M42" s="314"/>
      <c r="N42" s="227">
        <f>SUM(L42+M42)</f>
        <v>0</v>
      </c>
      <c r="O42" s="314"/>
      <c r="P42" s="314"/>
      <c r="Q42" s="314"/>
      <c r="R42" s="226">
        <f t="shared" ref="R42:R66" si="29">K42+N42+SUM(O42:Q42)</f>
        <v>0</v>
      </c>
      <c r="S42" s="314"/>
      <c r="T42" s="314"/>
      <c r="U42" s="314"/>
      <c r="V42" s="314"/>
      <c r="W42" s="314"/>
      <c r="X42" s="314"/>
      <c r="Y42" s="314"/>
      <c r="Z42" s="314"/>
      <c r="AA42" s="314"/>
      <c r="AB42" s="314"/>
      <c r="AC42" s="314"/>
      <c r="AD42" s="314"/>
      <c r="AE42" s="314"/>
      <c r="AF42" s="314"/>
      <c r="AG42" s="314"/>
      <c r="AH42" s="314"/>
      <c r="AI42" s="314"/>
      <c r="AJ42" s="314"/>
      <c r="AK42" s="314"/>
      <c r="AL42" s="314"/>
      <c r="AM42" s="314"/>
      <c r="AN42" s="314"/>
      <c r="AO42" s="314"/>
      <c r="AP42" s="314"/>
      <c r="AQ42" s="314"/>
      <c r="AR42" s="314"/>
      <c r="AS42" s="314"/>
      <c r="AT42" s="314"/>
      <c r="AU42" s="314"/>
      <c r="AV42" s="314"/>
      <c r="AW42" s="314"/>
      <c r="AX42" s="314"/>
      <c r="AY42" s="314"/>
      <c r="AZ42" s="314"/>
      <c r="BA42" s="314"/>
      <c r="BB42" s="314"/>
      <c r="BC42" s="314"/>
      <c r="BD42" s="314"/>
      <c r="BE42" s="314"/>
      <c r="BF42" s="57">
        <f>SUM(S42:BE42)</f>
        <v>0</v>
      </c>
      <c r="BG42" s="314"/>
      <c r="BH42" s="314"/>
      <c r="BI42" s="314"/>
      <c r="BJ42" s="314"/>
      <c r="BK42" s="314"/>
      <c r="BL42" s="314"/>
      <c r="BM42" s="314"/>
      <c r="BN42" s="314"/>
      <c r="BO42" s="314"/>
      <c r="BP42" s="314"/>
      <c r="BQ42" s="314"/>
      <c r="BR42" s="314"/>
      <c r="BS42" s="57">
        <f t="shared" ref="BS42:BS73" si="30">SUM(BG42:BR42)</f>
        <v>0</v>
      </c>
      <c r="BT42" s="314"/>
      <c r="BU42" s="314"/>
      <c r="BV42" s="314"/>
      <c r="BW42" s="57">
        <f t="shared" ref="BW42:BW73" si="31">R42+BF42+BS42+BT42+BU42+BV42</f>
        <v>0</v>
      </c>
      <c r="BX42" s="314"/>
      <c r="BY42" s="314"/>
      <c r="BZ42" s="314"/>
      <c r="CA42" s="314"/>
      <c r="CB42" s="314"/>
      <c r="CC42" s="314"/>
      <c r="CD42" s="314"/>
      <c r="CE42" s="1090">
        <f t="shared" ref="CE42:CE73" si="32">SUM(BX42:CD42)</f>
        <v>0</v>
      </c>
      <c r="CF42" s="314"/>
      <c r="CG42" s="314"/>
      <c r="CH42" s="57">
        <f>SUM(CK42:CV42)</f>
        <v>0</v>
      </c>
      <c r="CI42" s="57">
        <f t="shared" ref="CI42:CI67" si="33">BW42+CE42+CF42+CG42+CH42</f>
        <v>0</v>
      </c>
      <c r="CK42" s="315"/>
      <c r="CL42" s="315"/>
      <c r="CM42" s="315"/>
      <c r="CN42" s="315"/>
      <c r="CO42" s="315"/>
      <c r="CP42" s="315"/>
      <c r="CQ42" s="315"/>
      <c r="CR42" s="1088"/>
      <c r="CS42" s="1088"/>
      <c r="CT42" s="1088"/>
      <c r="CU42" s="1088"/>
      <c r="CV42" s="1083"/>
      <c r="CW42" s="91"/>
      <c r="CX42" s="779"/>
    </row>
    <row r="43" spans="1:102" s="55" customFormat="1" ht="12">
      <c r="A43" s="50">
        <v>20</v>
      </c>
      <c r="B43" s="46" t="s">
        <v>35</v>
      </c>
      <c r="C43" s="99" t="s">
        <v>50</v>
      </c>
      <c r="I43" s="314"/>
      <c r="J43" s="314"/>
      <c r="K43" s="227">
        <f t="shared" ref="K43:K73" si="34">SUM(I43+J43)</f>
        <v>0</v>
      </c>
      <c r="L43" s="314"/>
      <c r="M43" s="314"/>
      <c r="N43" s="227">
        <f t="shared" ref="N43:N73" si="35">SUM(L43+M43)</f>
        <v>0</v>
      </c>
      <c r="O43" s="314"/>
      <c r="P43" s="314"/>
      <c r="Q43" s="314"/>
      <c r="R43" s="226">
        <f t="shared" si="29"/>
        <v>0</v>
      </c>
      <c r="S43" s="315"/>
      <c r="T43" s="315"/>
      <c r="U43" s="315"/>
      <c r="V43" s="315"/>
      <c r="W43" s="315"/>
      <c r="X43" s="315"/>
      <c r="Y43" s="315"/>
      <c r="Z43" s="315"/>
      <c r="AA43" s="315"/>
      <c r="AB43" s="315"/>
      <c r="AC43" s="315"/>
      <c r="AD43" s="315"/>
      <c r="AE43" s="315"/>
      <c r="AF43" s="315"/>
      <c r="AG43" s="315"/>
      <c r="AH43" s="315"/>
      <c r="AI43" s="315"/>
      <c r="AJ43" s="315"/>
      <c r="AK43" s="315"/>
      <c r="AL43" s="315"/>
      <c r="AM43" s="315"/>
      <c r="AN43" s="315"/>
      <c r="AO43" s="315"/>
      <c r="AP43" s="315"/>
      <c r="AQ43" s="315"/>
      <c r="AR43" s="315"/>
      <c r="AS43" s="315"/>
      <c r="AT43" s="315"/>
      <c r="AU43" s="315"/>
      <c r="AV43" s="315"/>
      <c r="AW43" s="315"/>
      <c r="AX43" s="315"/>
      <c r="AY43" s="315"/>
      <c r="AZ43" s="315"/>
      <c r="BA43" s="315"/>
      <c r="BB43" s="315"/>
      <c r="BC43" s="315"/>
      <c r="BD43" s="315"/>
      <c r="BE43" s="315"/>
      <c r="BF43" s="57">
        <f t="shared" ref="BF43:BF66" si="36">SUM(S43:BE43)</f>
        <v>0</v>
      </c>
      <c r="BG43" s="315"/>
      <c r="BH43" s="315"/>
      <c r="BI43" s="315"/>
      <c r="BJ43" s="315"/>
      <c r="BK43" s="315"/>
      <c r="BL43" s="315"/>
      <c r="BM43" s="315"/>
      <c r="BN43" s="315"/>
      <c r="BO43" s="315"/>
      <c r="BP43" s="315"/>
      <c r="BQ43" s="315"/>
      <c r="BR43" s="315"/>
      <c r="BS43" s="57">
        <f t="shared" si="30"/>
        <v>0</v>
      </c>
      <c r="BT43" s="315"/>
      <c r="BU43" s="315"/>
      <c r="BV43" s="315"/>
      <c r="BW43" s="57">
        <f t="shared" si="31"/>
        <v>0</v>
      </c>
      <c r="BX43" s="315"/>
      <c r="BY43" s="315"/>
      <c r="BZ43" s="315"/>
      <c r="CA43" s="315"/>
      <c r="CB43" s="315"/>
      <c r="CC43" s="315"/>
      <c r="CD43" s="315"/>
      <c r="CE43" s="1090">
        <f t="shared" si="32"/>
        <v>0</v>
      </c>
      <c r="CF43" s="314"/>
      <c r="CG43" s="314"/>
      <c r="CH43" s="57">
        <f t="shared" ref="CH43:CH65" si="37">SUM(CK43:CV43)</f>
        <v>0</v>
      </c>
      <c r="CI43" s="57">
        <f t="shared" si="33"/>
        <v>0</v>
      </c>
      <c r="CK43" s="314"/>
      <c r="CL43" s="315"/>
      <c r="CM43" s="315"/>
      <c r="CN43" s="315"/>
      <c r="CO43" s="315"/>
      <c r="CP43" s="1074"/>
      <c r="CQ43" s="315"/>
      <c r="CR43" s="1088"/>
      <c r="CS43" s="1088"/>
      <c r="CT43" s="1088"/>
      <c r="CU43" s="1088"/>
      <c r="CV43" s="1085"/>
      <c r="CW43" s="91"/>
      <c r="CX43" s="779"/>
    </row>
    <row r="44" spans="1:102" s="55" customFormat="1" ht="12">
      <c r="A44" s="50">
        <v>23</v>
      </c>
      <c r="B44" s="46" t="s">
        <v>120</v>
      </c>
      <c r="C44" s="99" t="s">
        <v>50</v>
      </c>
      <c r="I44" s="314"/>
      <c r="J44" s="314"/>
      <c r="K44" s="227">
        <f t="shared" si="34"/>
        <v>0</v>
      </c>
      <c r="L44" s="314"/>
      <c r="M44" s="314"/>
      <c r="N44" s="227">
        <f t="shared" si="35"/>
        <v>0</v>
      </c>
      <c r="O44" s="314"/>
      <c r="P44" s="314"/>
      <c r="Q44" s="314"/>
      <c r="R44" s="226">
        <f t="shared" si="29"/>
        <v>0</v>
      </c>
      <c r="S44" s="315"/>
      <c r="T44" s="315"/>
      <c r="U44" s="315"/>
      <c r="V44" s="315"/>
      <c r="W44" s="315"/>
      <c r="X44" s="315"/>
      <c r="Y44" s="315"/>
      <c r="Z44" s="315"/>
      <c r="AA44" s="315"/>
      <c r="AB44" s="315"/>
      <c r="AC44" s="315"/>
      <c r="AD44" s="315"/>
      <c r="AE44" s="315"/>
      <c r="AF44" s="315"/>
      <c r="AG44" s="315"/>
      <c r="AH44" s="315"/>
      <c r="AI44" s="315"/>
      <c r="AJ44" s="315"/>
      <c r="AK44" s="315"/>
      <c r="AL44" s="315"/>
      <c r="AM44" s="315"/>
      <c r="AN44" s="315"/>
      <c r="AO44" s="315"/>
      <c r="AP44" s="315"/>
      <c r="AQ44" s="315"/>
      <c r="AR44" s="315"/>
      <c r="AS44" s="315"/>
      <c r="AT44" s="315"/>
      <c r="AU44" s="315"/>
      <c r="AV44" s="315"/>
      <c r="AW44" s="315"/>
      <c r="AX44" s="315"/>
      <c r="AY44" s="315"/>
      <c r="AZ44" s="315"/>
      <c r="BA44" s="315"/>
      <c r="BB44" s="315"/>
      <c r="BC44" s="315"/>
      <c r="BD44" s="315"/>
      <c r="BE44" s="315"/>
      <c r="BF44" s="57">
        <f t="shared" si="36"/>
        <v>0</v>
      </c>
      <c r="BG44" s="315"/>
      <c r="BH44" s="315"/>
      <c r="BI44" s="315"/>
      <c r="BJ44" s="315"/>
      <c r="BK44" s="315"/>
      <c r="BL44" s="315"/>
      <c r="BM44" s="315"/>
      <c r="BN44" s="315"/>
      <c r="BO44" s="315"/>
      <c r="BP44" s="315"/>
      <c r="BQ44" s="315"/>
      <c r="BR44" s="315"/>
      <c r="BS44" s="57">
        <f t="shared" si="30"/>
        <v>0</v>
      </c>
      <c r="BT44" s="315"/>
      <c r="BU44" s="315"/>
      <c r="BV44" s="315"/>
      <c r="BW44" s="57">
        <f t="shared" si="31"/>
        <v>0</v>
      </c>
      <c r="BX44" s="315"/>
      <c r="BY44" s="315"/>
      <c r="BZ44" s="315"/>
      <c r="CA44" s="315"/>
      <c r="CB44" s="315"/>
      <c r="CC44" s="315"/>
      <c r="CD44" s="315"/>
      <c r="CE44" s="1090">
        <f t="shared" si="32"/>
        <v>0</v>
      </c>
      <c r="CF44" s="314"/>
      <c r="CG44" s="314"/>
      <c r="CH44" s="57">
        <f t="shared" si="37"/>
        <v>0</v>
      </c>
      <c r="CI44" s="57">
        <f t="shared" si="33"/>
        <v>0</v>
      </c>
      <c r="CK44" s="314"/>
      <c r="CL44" s="315"/>
      <c r="CM44" s="315"/>
      <c r="CN44" s="315"/>
      <c r="CO44" s="315"/>
      <c r="CP44" s="1074"/>
      <c r="CQ44" s="315"/>
      <c r="CR44" s="1088"/>
      <c r="CS44" s="1088"/>
      <c r="CT44" s="1088"/>
      <c r="CU44" s="1088"/>
      <c r="CV44" s="1085"/>
      <c r="CW44" s="91"/>
      <c r="CX44" s="779"/>
    </row>
    <row r="45" spans="1:102" s="55" customFormat="1" ht="12">
      <c r="A45" s="50">
        <v>24</v>
      </c>
      <c r="B45" s="46" t="s">
        <v>121</v>
      </c>
      <c r="C45" s="99" t="s">
        <v>50</v>
      </c>
      <c r="I45" s="314"/>
      <c r="J45" s="314"/>
      <c r="K45" s="227">
        <f t="shared" si="34"/>
        <v>0</v>
      </c>
      <c r="L45" s="314"/>
      <c r="M45" s="314"/>
      <c r="N45" s="227">
        <f t="shared" si="35"/>
        <v>0</v>
      </c>
      <c r="O45" s="314"/>
      <c r="P45" s="314"/>
      <c r="Q45" s="314"/>
      <c r="R45" s="226">
        <f t="shared" si="29"/>
        <v>0</v>
      </c>
      <c r="S45" s="315"/>
      <c r="T45" s="315"/>
      <c r="U45" s="315"/>
      <c r="V45" s="315"/>
      <c r="W45" s="315"/>
      <c r="X45" s="315"/>
      <c r="Y45" s="315"/>
      <c r="Z45" s="315"/>
      <c r="AA45" s="315"/>
      <c r="AB45" s="315"/>
      <c r="AC45" s="315"/>
      <c r="AD45" s="315"/>
      <c r="AE45" s="315"/>
      <c r="AF45" s="315"/>
      <c r="AG45" s="315"/>
      <c r="AH45" s="315"/>
      <c r="AI45" s="315"/>
      <c r="AJ45" s="315"/>
      <c r="AK45" s="315"/>
      <c r="AL45" s="315"/>
      <c r="AM45" s="315"/>
      <c r="AN45" s="315"/>
      <c r="AO45" s="315"/>
      <c r="AP45" s="315"/>
      <c r="AQ45" s="315"/>
      <c r="AR45" s="315"/>
      <c r="AS45" s="315"/>
      <c r="AT45" s="315"/>
      <c r="AU45" s="315"/>
      <c r="AV45" s="315"/>
      <c r="AW45" s="315"/>
      <c r="AX45" s="315"/>
      <c r="AY45" s="315"/>
      <c r="AZ45" s="315"/>
      <c r="BA45" s="315"/>
      <c r="BB45" s="315"/>
      <c r="BC45" s="315"/>
      <c r="BD45" s="315"/>
      <c r="BE45" s="315"/>
      <c r="BF45" s="57">
        <f t="shared" si="36"/>
        <v>0</v>
      </c>
      <c r="BG45" s="315"/>
      <c r="BH45" s="315"/>
      <c r="BI45" s="315"/>
      <c r="BJ45" s="315"/>
      <c r="BK45" s="315"/>
      <c r="BL45" s="315"/>
      <c r="BM45" s="315"/>
      <c r="BN45" s="315"/>
      <c r="BO45" s="315"/>
      <c r="BP45" s="315"/>
      <c r="BQ45" s="315"/>
      <c r="BR45" s="315"/>
      <c r="BS45" s="57">
        <f t="shared" si="30"/>
        <v>0</v>
      </c>
      <c r="BT45" s="315"/>
      <c r="BU45" s="315"/>
      <c r="BV45" s="315"/>
      <c r="BW45" s="57">
        <f t="shared" si="31"/>
        <v>0</v>
      </c>
      <c r="BX45" s="315"/>
      <c r="BY45" s="315"/>
      <c r="BZ45" s="315"/>
      <c r="CA45" s="315"/>
      <c r="CB45" s="315"/>
      <c r="CC45" s="315"/>
      <c r="CD45" s="315"/>
      <c r="CE45" s="1090">
        <f t="shared" si="32"/>
        <v>0</v>
      </c>
      <c r="CF45" s="314"/>
      <c r="CG45" s="314"/>
      <c r="CH45" s="57">
        <f t="shared" si="37"/>
        <v>0</v>
      </c>
      <c r="CI45" s="57">
        <f t="shared" si="33"/>
        <v>0</v>
      </c>
      <c r="CK45" s="314"/>
      <c r="CL45" s="315"/>
      <c r="CM45" s="315"/>
      <c r="CN45" s="315"/>
      <c r="CO45" s="315"/>
      <c r="CP45" s="315"/>
      <c r="CQ45" s="315"/>
      <c r="CR45" s="1088"/>
      <c r="CS45" s="1088"/>
      <c r="CT45" s="1088"/>
      <c r="CU45" s="1088"/>
      <c r="CV45" s="1085"/>
      <c r="CW45" s="91"/>
      <c r="CX45" s="779"/>
    </row>
    <row r="46" spans="1:102" s="55" customFormat="1" ht="12">
      <c r="A46" s="50">
        <v>25</v>
      </c>
      <c r="B46" s="46" t="s">
        <v>37</v>
      </c>
      <c r="C46" s="99" t="s">
        <v>50</v>
      </c>
      <c r="I46" s="314"/>
      <c r="J46" s="314"/>
      <c r="K46" s="227">
        <f t="shared" si="34"/>
        <v>0</v>
      </c>
      <c r="L46" s="314"/>
      <c r="M46" s="314"/>
      <c r="N46" s="227">
        <f t="shared" si="35"/>
        <v>0</v>
      </c>
      <c r="O46" s="314"/>
      <c r="P46" s="314"/>
      <c r="Q46" s="314"/>
      <c r="R46" s="226">
        <f t="shared" si="29"/>
        <v>0</v>
      </c>
      <c r="S46" s="315"/>
      <c r="T46" s="315"/>
      <c r="U46" s="315"/>
      <c r="V46" s="315"/>
      <c r="W46" s="315"/>
      <c r="X46" s="315"/>
      <c r="Y46" s="315"/>
      <c r="Z46" s="315"/>
      <c r="AA46" s="315"/>
      <c r="AB46" s="315"/>
      <c r="AC46" s="315"/>
      <c r="AD46" s="315"/>
      <c r="AE46" s="315"/>
      <c r="AF46" s="315"/>
      <c r="AG46" s="315"/>
      <c r="AH46" s="315"/>
      <c r="AI46" s="315"/>
      <c r="AJ46" s="315"/>
      <c r="AK46" s="315"/>
      <c r="AL46" s="315"/>
      <c r="AM46" s="315"/>
      <c r="AN46" s="315"/>
      <c r="AO46" s="315"/>
      <c r="AP46" s="315"/>
      <c r="AQ46" s="315"/>
      <c r="AR46" s="315"/>
      <c r="AS46" s="315"/>
      <c r="AT46" s="315"/>
      <c r="AU46" s="315"/>
      <c r="AV46" s="315"/>
      <c r="AW46" s="315"/>
      <c r="AX46" s="315"/>
      <c r="AY46" s="315"/>
      <c r="AZ46" s="315"/>
      <c r="BA46" s="315"/>
      <c r="BB46" s="315"/>
      <c r="BC46" s="315"/>
      <c r="BD46" s="315"/>
      <c r="BE46" s="315"/>
      <c r="BF46" s="57">
        <f t="shared" si="36"/>
        <v>0</v>
      </c>
      <c r="BG46" s="315"/>
      <c r="BH46" s="315"/>
      <c r="BI46" s="315"/>
      <c r="BJ46" s="315"/>
      <c r="BK46" s="315"/>
      <c r="BL46" s="315"/>
      <c r="BM46" s="315"/>
      <c r="BN46" s="315"/>
      <c r="BO46" s="315"/>
      <c r="BP46" s="315"/>
      <c r="BQ46" s="315"/>
      <c r="BR46" s="315"/>
      <c r="BS46" s="57">
        <f t="shared" si="30"/>
        <v>0</v>
      </c>
      <c r="BT46" s="315"/>
      <c r="BU46" s="315"/>
      <c r="BV46" s="315"/>
      <c r="BW46" s="57">
        <f t="shared" si="31"/>
        <v>0</v>
      </c>
      <c r="BX46" s="315"/>
      <c r="BY46" s="315"/>
      <c r="BZ46" s="315"/>
      <c r="CA46" s="315"/>
      <c r="CB46" s="315"/>
      <c r="CC46" s="315"/>
      <c r="CD46" s="315"/>
      <c r="CE46" s="1090">
        <f t="shared" si="32"/>
        <v>0</v>
      </c>
      <c r="CF46" s="315"/>
      <c r="CG46" s="315"/>
      <c r="CH46" s="57">
        <f t="shared" si="37"/>
        <v>0</v>
      </c>
      <c r="CI46" s="57">
        <f t="shared" si="33"/>
        <v>0</v>
      </c>
      <c r="CK46" s="314"/>
      <c r="CL46" s="315"/>
      <c r="CM46" s="315"/>
      <c r="CN46" s="315"/>
      <c r="CO46" s="315"/>
      <c r="CP46" s="315"/>
      <c r="CQ46" s="315"/>
      <c r="CR46" s="1088"/>
      <c r="CS46" s="1088"/>
      <c r="CT46" s="1088"/>
      <c r="CU46" s="1088"/>
      <c r="CV46" s="1085"/>
      <c r="CW46" s="91"/>
      <c r="CX46" s="779"/>
    </row>
    <row r="47" spans="1:102" s="55" customFormat="1" ht="12">
      <c r="A47" s="50">
        <v>26</v>
      </c>
      <c r="B47" s="46" t="s">
        <v>122</v>
      </c>
      <c r="C47" s="99" t="s">
        <v>50</v>
      </c>
      <c r="I47" s="314"/>
      <c r="J47" s="314"/>
      <c r="K47" s="227">
        <f t="shared" si="34"/>
        <v>0</v>
      </c>
      <c r="L47" s="314"/>
      <c r="M47" s="314"/>
      <c r="N47" s="227">
        <f t="shared" si="35"/>
        <v>0</v>
      </c>
      <c r="O47" s="314"/>
      <c r="P47" s="314"/>
      <c r="Q47" s="314"/>
      <c r="R47" s="226">
        <f t="shared" si="29"/>
        <v>0</v>
      </c>
      <c r="S47" s="314"/>
      <c r="T47" s="314"/>
      <c r="U47" s="314"/>
      <c r="V47" s="314"/>
      <c r="W47" s="314"/>
      <c r="X47" s="314"/>
      <c r="Y47" s="314"/>
      <c r="Z47" s="314"/>
      <c r="AA47" s="314"/>
      <c r="AB47" s="314"/>
      <c r="AC47" s="314"/>
      <c r="AD47" s="314"/>
      <c r="AE47" s="314"/>
      <c r="AF47" s="314"/>
      <c r="AG47" s="314"/>
      <c r="AH47" s="314"/>
      <c r="AI47" s="314"/>
      <c r="AJ47" s="314"/>
      <c r="AK47" s="314"/>
      <c r="AL47" s="314"/>
      <c r="AM47" s="314"/>
      <c r="AN47" s="314"/>
      <c r="AO47" s="314"/>
      <c r="AP47" s="314"/>
      <c r="AQ47" s="314"/>
      <c r="AR47" s="314"/>
      <c r="AS47" s="314"/>
      <c r="AT47" s="314"/>
      <c r="AU47" s="314"/>
      <c r="AV47" s="314"/>
      <c r="AW47" s="314"/>
      <c r="AX47" s="314"/>
      <c r="AY47" s="314"/>
      <c r="AZ47" s="314"/>
      <c r="BA47" s="314"/>
      <c r="BB47" s="314"/>
      <c r="BC47" s="314"/>
      <c r="BD47" s="314"/>
      <c r="BE47" s="314"/>
      <c r="BF47" s="57">
        <f t="shared" si="36"/>
        <v>0</v>
      </c>
      <c r="BG47" s="315"/>
      <c r="BH47" s="315"/>
      <c r="BI47" s="315"/>
      <c r="BJ47" s="315"/>
      <c r="BK47" s="315"/>
      <c r="BL47" s="315"/>
      <c r="BM47" s="315"/>
      <c r="BN47" s="315"/>
      <c r="BO47" s="315"/>
      <c r="BP47" s="315"/>
      <c r="BQ47" s="315"/>
      <c r="BR47" s="315"/>
      <c r="BS47" s="57">
        <f t="shared" si="30"/>
        <v>0</v>
      </c>
      <c r="BT47" s="314"/>
      <c r="BU47" s="314"/>
      <c r="BV47" s="314"/>
      <c r="BW47" s="57">
        <f t="shared" si="31"/>
        <v>0</v>
      </c>
      <c r="BX47" s="315"/>
      <c r="BY47" s="315"/>
      <c r="BZ47" s="315"/>
      <c r="CA47" s="315"/>
      <c r="CB47" s="315"/>
      <c r="CC47" s="315"/>
      <c r="CD47" s="315"/>
      <c r="CE47" s="1090">
        <f t="shared" si="32"/>
        <v>0</v>
      </c>
      <c r="CF47" s="314"/>
      <c r="CG47" s="314"/>
      <c r="CH47" s="57">
        <f t="shared" si="37"/>
        <v>0</v>
      </c>
      <c r="CI47" s="57">
        <f t="shared" si="33"/>
        <v>0</v>
      </c>
      <c r="CK47" s="314"/>
      <c r="CL47" s="315"/>
      <c r="CM47" s="315"/>
      <c r="CN47" s="315"/>
      <c r="CO47" s="315"/>
      <c r="CP47" s="315"/>
      <c r="CQ47" s="315"/>
      <c r="CR47" s="1088"/>
      <c r="CS47" s="1088"/>
      <c r="CT47" s="1088"/>
      <c r="CU47" s="1088"/>
      <c r="CV47" s="1085"/>
      <c r="CW47" s="91"/>
      <c r="CX47" s="779"/>
    </row>
    <row r="48" spans="1:102" s="55" customFormat="1" ht="12">
      <c r="A48" s="50">
        <v>27</v>
      </c>
      <c r="B48" s="46" t="s">
        <v>123</v>
      </c>
      <c r="C48" s="99" t="s">
        <v>50</v>
      </c>
      <c r="I48" s="314"/>
      <c r="J48" s="314"/>
      <c r="K48" s="227">
        <f t="shared" si="34"/>
        <v>0</v>
      </c>
      <c r="L48" s="314"/>
      <c r="M48" s="314"/>
      <c r="N48" s="227">
        <f t="shared" si="35"/>
        <v>0</v>
      </c>
      <c r="O48" s="314"/>
      <c r="P48" s="314"/>
      <c r="Q48" s="314"/>
      <c r="R48" s="226">
        <f t="shared" si="29"/>
        <v>0</v>
      </c>
      <c r="S48" s="315"/>
      <c r="T48" s="315"/>
      <c r="U48" s="315"/>
      <c r="V48" s="315"/>
      <c r="W48" s="315"/>
      <c r="X48" s="315"/>
      <c r="Y48" s="315"/>
      <c r="Z48" s="315"/>
      <c r="AA48" s="315"/>
      <c r="AB48" s="315"/>
      <c r="AC48" s="315"/>
      <c r="AD48" s="315"/>
      <c r="AE48" s="315"/>
      <c r="AF48" s="315"/>
      <c r="AG48" s="315"/>
      <c r="AH48" s="315"/>
      <c r="AI48" s="315"/>
      <c r="AJ48" s="315"/>
      <c r="AK48" s="315"/>
      <c r="AL48" s="315"/>
      <c r="AM48" s="315"/>
      <c r="AN48" s="315"/>
      <c r="AO48" s="315"/>
      <c r="AP48" s="315"/>
      <c r="AQ48" s="315"/>
      <c r="AR48" s="315"/>
      <c r="AS48" s="315"/>
      <c r="AT48" s="315"/>
      <c r="AU48" s="315"/>
      <c r="AV48" s="315"/>
      <c r="AW48" s="315"/>
      <c r="AX48" s="315"/>
      <c r="AY48" s="315"/>
      <c r="AZ48" s="315"/>
      <c r="BA48" s="315"/>
      <c r="BB48" s="315"/>
      <c r="BC48" s="315"/>
      <c r="BD48" s="315"/>
      <c r="BE48" s="315"/>
      <c r="BF48" s="57">
        <f t="shared" si="36"/>
        <v>0</v>
      </c>
      <c r="BG48" s="315"/>
      <c r="BH48" s="315"/>
      <c r="BI48" s="315"/>
      <c r="BJ48" s="315"/>
      <c r="BK48" s="315"/>
      <c r="BL48" s="315"/>
      <c r="BM48" s="315"/>
      <c r="BN48" s="315"/>
      <c r="BO48" s="315"/>
      <c r="BP48" s="315"/>
      <c r="BQ48" s="315"/>
      <c r="BR48" s="315"/>
      <c r="BS48" s="57">
        <f t="shared" si="30"/>
        <v>0</v>
      </c>
      <c r="BT48" s="315"/>
      <c r="BU48" s="315"/>
      <c r="BV48" s="315"/>
      <c r="BW48" s="57">
        <f t="shared" si="31"/>
        <v>0</v>
      </c>
      <c r="BX48" s="315"/>
      <c r="BY48" s="315"/>
      <c r="BZ48" s="315"/>
      <c r="CA48" s="315"/>
      <c r="CB48" s="315"/>
      <c r="CC48" s="315"/>
      <c r="CD48" s="315"/>
      <c r="CE48" s="1090">
        <f t="shared" si="32"/>
        <v>0</v>
      </c>
      <c r="CF48" s="315"/>
      <c r="CG48" s="315"/>
      <c r="CH48" s="57">
        <f t="shared" si="37"/>
        <v>0</v>
      </c>
      <c r="CI48" s="57">
        <f t="shared" si="33"/>
        <v>0</v>
      </c>
      <c r="CK48" s="314"/>
      <c r="CL48" s="315"/>
      <c r="CM48" s="315"/>
      <c r="CN48" s="315"/>
      <c r="CO48" s="315"/>
      <c r="CP48" s="315"/>
      <c r="CQ48" s="315"/>
      <c r="CR48" s="1088"/>
      <c r="CS48" s="1088"/>
      <c r="CT48" s="1088"/>
      <c r="CU48" s="1088"/>
      <c r="CV48" s="1085"/>
      <c r="CW48" s="91"/>
      <c r="CX48" s="779"/>
    </row>
    <row r="49" spans="1:102" s="55" customFormat="1" ht="12">
      <c r="A49" s="50">
        <v>28</v>
      </c>
      <c r="B49" s="46" t="s">
        <v>124</v>
      </c>
      <c r="C49" s="99" t="s">
        <v>50</v>
      </c>
      <c r="I49" s="314"/>
      <c r="J49" s="314"/>
      <c r="K49" s="227">
        <f t="shared" si="34"/>
        <v>0</v>
      </c>
      <c r="L49" s="314"/>
      <c r="M49" s="314"/>
      <c r="N49" s="227">
        <f t="shared" si="35"/>
        <v>0</v>
      </c>
      <c r="O49" s="314"/>
      <c r="P49" s="314"/>
      <c r="Q49" s="314"/>
      <c r="R49" s="226">
        <f t="shared" si="29"/>
        <v>0</v>
      </c>
      <c r="S49" s="315"/>
      <c r="T49" s="315"/>
      <c r="U49" s="315"/>
      <c r="V49" s="315"/>
      <c r="W49" s="315"/>
      <c r="X49" s="315"/>
      <c r="Y49" s="315"/>
      <c r="Z49" s="315"/>
      <c r="AA49" s="315"/>
      <c r="AB49" s="315"/>
      <c r="AC49" s="315"/>
      <c r="AD49" s="315"/>
      <c r="AE49" s="315"/>
      <c r="AF49" s="315"/>
      <c r="AG49" s="315"/>
      <c r="AH49" s="315"/>
      <c r="AI49" s="315"/>
      <c r="AJ49" s="315"/>
      <c r="AK49" s="315"/>
      <c r="AL49" s="315"/>
      <c r="AM49" s="315"/>
      <c r="AN49" s="315"/>
      <c r="AO49" s="315"/>
      <c r="AP49" s="315"/>
      <c r="AQ49" s="315"/>
      <c r="AR49" s="315"/>
      <c r="AS49" s="315"/>
      <c r="AT49" s="315"/>
      <c r="AU49" s="315"/>
      <c r="AV49" s="315"/>
      <c r="AW49" s="315"/>
      <c r="AX49" s="315"/>
      <c r="AY49" s="315"/>
      <c r="AZ49" s="315"/>
      <c r="BA49" s="315"/>
      <c r="BB49" s="315"/>
      <c r="BC49" s="315"/>
      <c r="BD49" s="315"/>
      <c r="BE49" s="315"/>
      <c r="BF49" s="57">
        <f t="shared" si="36"/>
        <v>0</v>
      </c>
      <c r="BG49" s="315"/>
      <c r="BH49" s="315"/>
      <c r="BI49" s="315"/>
      <c r="BJ49" s="315"/>
      <c r="BK49" s="315"/>
      <c r="BL49" s="315"/>
      <c r="BM49" s="315"/>
      <c r="BN49" s="315"/>
      <c r="BO49" s="315"/>
      <c r="BP49" s="315"/>
      <c r="BQ49" s="315"/>
      <c r="BR49" s="315"/>
      <c r="BS49" s="57">
        <f t="shared" si="30"/>
        <v>0</v>
      </c>
      <c r="BT49" s="315"/>
      <c r="BU49" s="315"/>
      <c r="BV49" s="315"/>
      <c r="BW49" s="57">
        <f t="shared" si="31"/>
        <v>0</v>
      </c>
      <c r="BX49" s="315"/>
      <c r="BY49" s="315"/>
      <c r="BZ49" s="315"/>
      <c r="CA49" s="315"/>
      <c r="CB49" s="315"/>
      <c r="CC49" s="315"/>
      <c r="CD49" s="315"/>
      <c r="CE49" s="1090">
        <f t="shared" si="32"/>
        <v>0</v>
      </c>
      <c r="CF49" s="314"/>
      <c r="CG49" s="314"/>
      <c r="CH49" s="57">
        <f t="shared" si="37"/>
        <v>0</v>
      </c>
      <c r="CI49" s="57">
        <f t="shared" si="33"/>
        <v>0</v>
      </c>
      <c r="CK49" s="314"/>
      <c r="CL49" s="315"/>
      <c r="CM49" s="315"/>
      <c r="CN49" s="315"/>
      <c r="CO49" s="315"/>
      <c r="CP49" s="315"/>
      <c r="CQ49" s="315"/>
      <c r="CR49" s="1088"/>
      <c r="CS49" s="1088"/>
      <c r="CT49" s="1088"/>
      <c r="CU49" s="1088"/>
      <c r="CV49" s="1085"/>
      <c r="CW49" s="91"/>
      <c r="CX49" s="779"/>
    </row>
    <row r="50" spans="1:102" s="55" customFormat="1" ht="12">
      <c r="A50" s="50">
        <v>29</v>
      </c>
      <c r="B50" s="46" t="s">
        <v>125</v>
      </c>
      <c r="C50" s="99" t="s">
        <v>50</v>
      </c>
      <c r="I50" s="314"/>
      <c r="J50" s="314"/>
      <c r="K50" s="227">
        <f t="shared" si="34"/>
        <v>0</v>
      </c>
      <c r="L50" s="314"/>
      <c r="M50" s="314"/>
      <c r="N50" s="227">
        <f t="shared" si="35"/>
        <v>0</v>
      </c>
      <c r="O50" s="314"/>
      <c r="P50" s="314"/>
      <c r="Q50" s="314"/>
      <c r="R50" s="226">
        <f t="shared" si="29"/>
        <v>0</v>
      </c>
      <c r="S50" s="314"/>
      <c r="T50" s="314"/>
      <c r="U50" s="314"/>
      <c r="V50" s="314"/>
      <c r="W50" s="314"/>
      <c r="X50" s="314"/>
      <c r="Y50" s="314"/>
      <c r="Z50" s="314"/>
      <c r="AA50" s="314"/>
      <c r="AB50" s="314"/>
      <c r="AC50" s="314"/>
      <c r="AD50" s="314"/>
      <c r="AE50" s="314"/>
      <c r="AF50" s="314"/>
      <c r="AG50" s="314"/>
      <c r="AH50" s="314"/>
      <c r="AI50" s="314"/>
      <c r="AJ50" s="314"/>
      <c r="AK50" s="314"/>
      <c r="AL50" s="314"/>
      <c r="AM50" s="314"/>
      <c r="AN50" s="314"/>
      <c r="AO50" s="314"/>
      <c r="AP50" s="314"/>
      <c r="AQ50" s="314"/>
      <c r="AR50" s="314"/>
      <c r="AS50" s="314"/>
      <c r="AT50" s="314"/>
      <c r="AU50" s="314"/>
      <c r="AV50" s="314"/>
      <c r="AW50" s="314"/>
      <c r="AX50" s="314"/>
      <c r="AY50" s="314"/>
      <c r="AZ50" s="314"/>
      <c r="BA50" s="314"/>
      <c r="BB50" s="314"/>
      <c r="BC50" s="314"/>
      <c r="BD50" s="314"/>
      <c r="BE50" s="314"/>
      <c r="BF50" s="57">
        <f t="shared" si="36"/>
        <v>0</v>
      </c>
      <c r="BG50" s="314"/>
      <c r="BH50" s="314"/>
      <c r="BI50" s="314"/>
      <c r="BJ50" s="314"/>
      <c r="BK50" s="314"/>
      <c r="BL50" s="314"/>
      <c r="BM50" s="314"/>
      <c r="BN50" s="314"/>
      <c r="BO50" s="314"/>
      <c r="BP50" s="314"/>
      <c r="BQ50" s="314"/>
      <c r="BR50" s="314"/>
      <c r="BS50" s="57">
        <f t="shared" si="30"/>
        <v>0</v>
      </c>
      <c r="BT50" s="314"/>
      <c r="BU50" s="314"/>
      <c r="BV50" s="314"/>
      <c r="BW50" s="57">
        <f t="shared" si="31"/>
        <v>0</v>
      </c>
      <c r="BX50" s="314"/>
      <c r="BY50" s="314"/>
      <c r="BZ50" s="314"/>
      <c r="CA50" s="314"/>
      <c r="CB50" s="314"/>
      <c r="CC50" s="314"/>
      <c r="CD50" s="314"/>
      <c r="CE50" s="1090">
        <f t="shared" si="32"/>
        <v>0</v>
      </c>
      <c r="CF50" s="314"/>
      <c r="CG50" s="314"/>
      <c r="CH50" s="57">
        <f t="shared" si="37"/>
        <v>0</v>
      </c>
      <c r="CI50" s="57">
        <f t="shared" si="33"/>
        <v>0</v>
      </c>
      <c r="CK50" s="315"/>
      <c r="CL50" s="314"/>
      <c r="CM50" s="315"/>
      <c r="CN50" s="315"/>
      <c r="CO50" s="315"/>
      <c r="CP50" s="315"/>
      <c r="CQ50" s="315"/>
      <c r="CR50" s="1088"/>
      <c r="CS50" s="1088"/>
      <c r="CT50" s="1088"/>
      <c r="CU50" s="1088"/>
      <c r="CV50" s="1085"/>
      <c r="CW50" s="91"/>
      <c r="CX50" s="779"/>
    </row>
    <row r="51" spans="1:102" s="55" customFormat="1" ht="12">
      <c r="A51" s="50">
        <v>30</v>
      </c>
      <c r="B51" s="46" t="s">
        <v>126</v>
      </c>
      <c r="C51" s="99" t="s">
        <v>51</v>
      </c>
      <c r="I51" s="314"/>
      <c r="J51" s="314"/>
      <c r="K51" s="227">
        <f t="shared" si="34"/>
        <v>0</v>
      </c>
      <c r="L51" s="314"/>
      <c r="M51" s="314"/>
      <c r="N51" s="227">
        <f t="shared" si="35"/>
        <v>0</v>
      </c>
      <c r="O51" s="314"/>
      <c r="P51" s="314"/>
      <c r="Q51" s="314"/>
      <c r="R51" s="226">
        <f t="shared" si="29"/>
        <v>0</v>
      </c>
      <c r="S51" s="315"/>
      <c r="T51" s="315"/>
      <c r="U51" s="315"/>
      <c r="V51" s="315"/>
      <c r="W51" s="315"/>
      <c r="X51" s="315"/>
      <c r="Y51" s="315"/>
      <c r="Z51" s="315"/>
      <c r="AA51" s="315"/>
      <c r="AB51" s="315"/>
      <c r="AC51" s="315"/>
      <c r="AD51" s="315"/>
      <c r="AE51" s="315"/>
      <c r="AF51" s="315"/>
      <c r="AG51" s="315"/>
      <c r="AH51" s="315"/>
      <c r="AI51" s="315"/>
      <c r="AJ51" s="315"/>
      <c r="AK51" s="315"/>
      <c r="AL51" s="315"/>
      <c r="AM51" s="315"/>
      <c r="AN51" s="315"/>
      <c r="AO51" s="315"/>
      <c r="AP51" s="315"/>
      <c r="AQ51" s="315"/>
      <c r="AR51" s="315"/>
      <c r="AS51" s="315"/>
      <c r="AT51" s="315"/>
      <c r="AU51" s="315"/>
      <c r="AV51" s="315"/>
      <c r="AW51" s="315"/>
      <c r="AX51" s="315"/>
      <c r="AY51" s="315"/>
      <c r="AZ51" s="315"/>
      <c r="BA51" s="315"/>
      <c r="BB51" s="315"/>
      <c r="BC51" s="315"/>
      <c r="BD51" s="315"/>
      <c r="BE51" s="315"/>
      <c r="BF51" s="57">
        <f t="shared" si="36"/>
        <v>0</v>
      </c>
      <c r="BG51" s="315"/>
      <c r="BH51" s="315"/>
      <c r="BI51" s="315"/>
      <c r="BJ51" s="315"/>
      <c r="BK51" s="315"/>
      <c r="BL51" s="315"/>
      <c r="BM51" s="315"/>
      <c r="BN51" s="315"/>
      <c r="BO51" s="315"/>
      <c r="BP51" s="315"/>
      <c r="BQ51" s="315"/>
      <c r="BR51" s="315"/>
      <c r="BS51" s="57">
        <f t="shared" si="30"/>
        <v>0</v>
      </c>
      <c r="BT51" s="315"/>
      <c r="BU51" s="315"/>
      <c r="BV51" s="315"/>
      <c r="BW51" s="57">
        <f t="shared" si="31"/>
        <v>0</v>
      </c>
      <c r="BX51" s="315"/>
      <c r="BY51" s="315"/>
      <c r="BZ51" s="315"/>
      <c r="CA51" s="315"/>
      <c r="CB51" s="315"/>
      <c r="CC51" s="315"/>
      <c r="CD51" s="315"/>
      <c r="CE51" s="1090">
        <f t="shared" si="32"/>
        <v>0</v>
      </c>
      <c r="CF51" s="315"/>
      <c r="CG51" s="315"/>
      <c r="CH51" s="57">
        <f t="shared" si="37"/>
        <v>0</v>
      </c>
      <c r="CI51" s="57">
        <f t="shared" si="33"/>
        <v>0</v>
      </c>
      <c r="CK51" s="315"/>
      <c r="CL51" s="315"/>
      <c r="CM51" s="315"/>
      <c r="CN51" s="315"/>
      <c r="CO51" s="315"/>
      <c r="CP51" s="315"/>
      <c r="CQ51" s="315"/>
      <c r="CR51" s="1087"/>
      <c r="CS51" s="1088"/>
      <c r="CT51" s="315"/>
      <c r="CU51" s="1088"/>
      <c r="CV51" s="1085"/>
      <c r="CW51" s="91"/>
      <c r="CX51" s="779"/>
    </row>
    <row r="52" spans="1:102" s="55" customFormat="1" ht="12">
      <c r="A52" s="50">
        <v>31</v>
      </c>
      <c r="B52" s="46" t="s">
        <v>52</v>
      </c>
      <c r="C52" s="99" t="s">
        <v>50</v>
      </c>
      <c r="I52" s="314"/>
      <c r="J52" s="314"/>
      <c r="K52" s="227">
        <f t="shared" si="34"/>
        <v>0</v>
      </c>
      <c r="L52" s="314"/>
      <c r="M52" s="314"/>
      <c r="N52" s="227">
        <f t="shared" si="35"/>
        <v>0</v>
      </c>
      <c r="O52" s="314"/>
      <c r="P52" s="314"/>
      <c r="Q52" s="314"/>
      <c r="R52" s="226">
        <f t="shared" si="29"/>
        <v>0</v>
      </c>
      <c r="S52" s="314"/>
      <c r="T52" s="314"/>
      <c r="U52" s="314"/>
      <c r="V52" s="314"/>
      <c r="W52" s="314"/>
      <c r="X52" s="314"/>
      <c r="Y52" s="314"/>
      <c r="Z52" s="314"/>
      <c r="AA52" s="314"/>
      <c r="AB52" s="314"/>
      <c r="AC52" s="314"/>
      <c r="AD52" s="314"/>
      <c r="AE52" s="314"/>
      <c r="AF52" s="314"/>
      <c r="AG52" s="314"/>
      <c r="AH52" s="314"/>
      <c r="AI52" s="314"/>
      <c r="AJ52" s="314"/>
      <c r="AK52" s="314"/>
      <c r="AL52" s="314"/>
      <c r="AM52" s="314"/>
      <c r="AN52" s="314"/>
      <c r="AO52" s="314"/>
      <c r="AP52" s="314"/>
      <c r="AQ52" s="314"/>
      <c r="AR52" s="314"/>
      <c r="AS52" s="314"/>
      <c r="AT52" s="314"/>
      <c r="AU52" s="314"/>
      <c r="AV52" s="314"/>
      <c r="AW52" s="314"/>
      <c r="AX52" s="314"/>
      <c r="AY52" s="314"/>
      <c r="AZ52" s="314"/>
      <c r="BA52" s="314"/>
      <c r="BB52" s="314"/>
      <c r="BC52" s="314"/>
      <c r="BD52" s="314"/>
      <c r="BE52" s="314"/>
      <c r="BF52" s="57">
        <f t="shared" si="36"/>
        <v>0</v>
      </c>
      <c r="BG52" s="314"/>
      <c r="BH52" s="314"/>
      <c r="BI52" s="314"/>
      <c r="BJ52" s="314"/>
      <c r="BK52" s="314"/>
      <c r="BL52" s="314"/>
      <c r="BM52" s="314"/>
      <c r="BN52" s="314"/>
      <c r="BO52" s="314"/>
      <c r="BP52" s="314"/>
      <c r="BQ52" s="314"/>
      <c r="BR52" s="314"/>
      <c r="BS52" s="57">
        <f t="shared" si="30"/>
        <v>0</v>
      </c>
      <c r="BT52" s="314"/>
      <c r="BU52" s="314"/>
      <c r="BV52" s="314"/>
      <c r="BW52" s="57">
        <f t="shared" si="31"/>
        <v>0</v>
      </c>
      <c r="BX52" s="314"/>
      <c r="BY52" s="314"/>
      <c r="BZ52" s="314"/>
      <c r="CA52" s="314"/>
      <c r="CB52" s="314"/>
      <c r="CC52" s="314"/>
      <c r="CD52" s="314"/>
      <c r="CE52" s="1090">
        <f t="shared" si="32"/>
        <v>0</v>
      </c>
      <c r="CF52" s="314"/>
      <c r="CG52" s="314"/>
      <c r="CH52" s="57">
        <f t="shared" si="37"/>
        <v>0</v>
      </c>
      <c r="CI52" s="57">
        <f t="shared" si="33"/>
        <v>0</v>
      </c>
      <c r="CK52" s="314"/>
      <c r="CL52" s="1085"/>
      <c r="CM52" s="315"/>
      <c r="CN52" s="315"/>
      <c r="CO52" s="315"/>
      <c r="CP52" s="1074"/>
      <c r="CQ52" s="315"/>
      <c r="CR52" s="1087"/>
      <c r="CS52" s="1088"/>
      <c r="CT52" s="1088"/>
      <c r="CU52" s="1088"/>
      <c r="CV52" s="1085"/>
      <c r="CW52" s="91"/>
      <c r="CX52" s="779"/>
    </row>
    <row r="53" spans="1:102" s="55" customFormat="1" ht="12">
      <c r="A53" s="54">
        <v>31</v>
      </c>
      <c r="B53" s="46" t="s">
        <v>53</v>
      </c>
      <c r="C53" s="99" t="s">
        <v>50</v>
      </c>
      <c r="I53" s="314"/>
      <c r="J53" s="314"/>
      <c r="K53" s="227">
        <f t="shared" si="34"/>
        <v>0</v>
      </c>
      <c r="L53" s="314"/>
      <c r="M53" s="314"/>
      <c r="N53" s="227">
        <f t="shared" si="35"/>
        <v>0</v>
      </c>
      <c r="O53" s="314"/>
      <c r="P53" s="314"/>
      <c r="Q53" s="314"/>
      <c r="R53" s="226">
        <f t="shared" si="29"/>
        <v>0</v>
      </c>
      <c r="S53" s="315"/>
      <c r="T53" s="315"/>
      <c r="U53" s="315"/>
      <c r="V53" s="315"/>
      <c r="W53" s="315"/>
      <c r="X53" s="315"/>
      <c r="Y53" s="315"/>
      <c r="Z53" s="315"/>
      <c r="AA53" s="315"/>
      <c r="AB53" s="315"/>
      <c r="AC53" s="315"/>
      <c r="AD53" s="315"/>
      <c r="AE53" s="315"/>
      <c r="AF53" s="315"/>
      <c r="AG53" s="315"/>
      <c r="AH53" s="315"/>
      <c r="AI53" s="315"/>
      <c r="AJ53" s="315"/>
      <c r="AK53" s="315"/>
      <c r="AL53" s="315"/>
      <c r="AM53" s="315"/>
      <c r="AN53" s="315"/>
      <c r="AO53" s="315"/>
      <c r="AP53" s="315"/>
      <c r="AQ53" s="315"/>
      <c r="AR53" s="315"/>
      <c r="AS53" s="315"/>
      <c r="AT53" s="315"/>
      <c r="AU53" s="315"/>
      <c r="AV53" s="315"/>
      <c r="AW53" s="315"/>
      <c r="AX53" s="315"/>
      <c r="AY53" s="315"/>
      <c r="AZ53" s="315"/>
      <c r="BA53" s="315"/>
      <c r="BB53" s="315"/>
      <c r="BC53" s="315"/>
      <c r="BD53" s="315"/>
      <c r="BE53" s="315"/>
      <c r="BF53" s="57">
        <f t="shared" si="36"/>
        <v>0</v>
      </c>
      <c r="BG53" s="314"/>
      <c r="BH53" s="314"/>
      <c r="BI53" s="314"/>
      <c r="BJ53" s="314"/>
      <c r="BK53" s="314"/>
      <c r="BL53" s="314"/>
      <c r="BM53" s="314"/>
      <c r="BN53" s="314"/>
      <c r="BO53" s="314"/>
      <c r="BP53" s="314"/>
      <c r="BQ53" s="314"/>
      <c r="BR53" s="314"/>
      <c r="BS53" s="57">
        <f t="shared" si="30"/>
        <v>0</v>
      </c>
      <c r="BT53" s="315"/>
      <c r="BU53" s="315"/>
      <c r="BV53" s="315"/>
      <c r="BW53" s="57">
        <f t="shared" si="31"/>
        <v>0</v>
      </c>
      <c r="BX53" s="315"/>
      <c r="BY53" s="315"/>
      <c r="BZ53" s="315"/>
      <c r="CA53" s="315"/>
      <c r="CB53" s="315"/>
      <c r="CC53" s="315"/>
      <c r="CD53" s="315"/>
      <c r="CE53" s="1090">
        <f t="shared" si="32"/>
        <v>0</v>
      </c>
      <c r="CF53" s="315"/>
      <c r="CG53" s="315"/>
      <c r="CH53" s="57">
        <f t="shared" si="37"/>
        <v>0</v>
      </c>
      <c r="CI53" s="57">
        <f t="shared" si="33"/>
        <v>0</v>
      </c>
      <c r="CK53" s="314"/>
      <c r="CL53" s="315"/>
      <c r="CM53" s="315"/>
      <c r="CN53" s="315"/>
      <c r="CO53" s="315"/>
      <c r="CP53" s="315"/>
      <c r="CQ53" s="315"/>
      <c r="CR53" s="1088"/>
      <c r="CS53" s="1088"/>
      <c r="CT53" s="1088"/>
      <c r="CU53" s="1088"/>
      <c r="CV53" s="1085"/>
      <c r="CW53" s="91"/>
      <c r="CX53" s="779"/>
    </row>
    <row r="54" spans="1:102" s="55" customFormat="1" ht="12">
      <c r="A54" s="50">
        <v>32</v>
      </c>
      <c r="B54" s="46" t="s">
        <v>7</v>
      </c>
      <c r="C54" s="99" t="s">
        <v>36</v>
      </c>
      <c r="I54" s="314"/>
      <c r="J54" s="314"/>
      <c r="K54" s="227">
        <f t="shared" si="34"/>
        <v>0</v>
      </c>
      <c r="L54" s="314"/>
      <c r="M54" s="314"/>
      <c r="N54" s="227">
        <f t="shared" si="35"/>
        <v>0</v>
      </c>
      <c r="O54" s="314"/>
      <c r="P54" s="314"/>
      <c r="Q54" s="314"/>
      <c r="R54" s="226">
        <f t="shared" si="29"/>
        <v>0</v>
      </c>
      <c r="S54" s="314"/>
      <c r="T54" s="314"/>
      <c r="U54" s="314"/>
      <c r="V54" s="314"/>
      <c r="W54" s="314"/>
      <c r="X54" s="314"/>
      <c r="Y54" s="314"/>
      <c r="Z54" s="314"/>
      <c r="AA54" s="314"/>
      <c r="AB54" s="314"/>
      <c r="AC54" s="314"/>
      <c r="AD54" s="314"/>
      <c r="AE54" s="314"/>
      <c r="AF54" s="314"/>
      <c r="AG54" s="314"/>
      <c r="AH54" s="314"/>
      <c r="AI54" s="314"/>
      <c r="AJ54" s="314"/>
      <c r="AK54" s="314"/>
      <c r="AL54" s="314"/>
      <c r="AM54" s="314"/>
      <c r="AN54" s="314"/>
      <c r="AO54" s="314"/>
      <c r="AP54" s="314"/>
      <c r="AQ54" s="314"/>
      <c r="AR54" s="314"/>
      <c r="AS54" s="314"/>
      <c r="AT54" s="314"/>
      <c r="AU54" s="314"/>
      <c r="AV54" s="314"/>
      <c r="AW54" s="314"/>
      <c r="AX54" s="314"/>
      <c r="AY54" s="314"/>
      <c r="AZ54" s="314"/>
      <c r="BA54" s="314"/>
      <c r="BB54" s="314"/>
      <c r="BC54" s="314"/>
      <c r="BD54" s="314"/>
      <c r="BE54" s="314"/>
      <c r="BF54" s="57">
        <f t="shared" si="36"/>
        <v>0</v>
      </c>
      <c r="BG54" s="314"/>
      <c r="BH54" s="314"/>
      <c r="BI54" s="314"/>
      <c r="BJ54" s="314"/>
      <c r="BK54" s="314"/>
      <c r="BL54" s="314"/>
      <c r="BM54" s="314"/>
      <c r="BN54" s="314"/>
      <c r="BO54" s="314"/>
      <c r="BP54" s="314"/>
      <c r="BQ54" s="314"/>
      <c r="BR54" s="314"/>
      <c r="BS54" s="57">
        <f t="shared" si="30"/>
        <v>0</v>
      </c>
      <c r="BT54" s="314"/>
      <c r="BU54" s="315"/>
      <c r="BV54" s="315"/>
      <c r="BW54" s="57">
        <f t="shared" si="31"/>
        <v>0</v>
      </c>
      <c r="BX54" s="315"/>
      <c r="BY54" s="315"/>
      <c r="BZ54" s="315"/>
      <c r="CA54" s="315"/>
      <c r="CB54" s="315"/>
      <c r="CC54" s="315"/>
      <c r="CD54" s="315"/>
      <c r="CE54" s="1090">
        <f t="shared" si="32"/>
        <v>0</v>
      </c>
      <c r="CF54" s="315"/>
      <c r="CG54" s="315"/>
      <c r="CH54" s="57">
        <f t="shared" si="37"/>
        <v>0</v>
      </c>
      <c r="CI54" s="57">
        <f t="shared" si="33"/>
        <v>0</v>
      </c>
      <c r="CK54" s="315"/>
      <c r="CL54" s="315"/>
      <c r="CM54" s="314"/>
      <c r="CN54" s="315"/>
      <c r="CO54" s="315"/>
      <c r="CP54" s="315"/>
      <c r="CQ54" s="315"/>
      <c r="CR54" s="1088"/>
      <c r="CS54" s="1088"/>
      <c r="CT54" s="1088"/>
      <c r="CU54" s="1088"/>
      <c r="CV54" s="1085"/>
      <c r="CW54" s="91"/>
      <c r="CX54" s="779"/>
    </row>
    <row r="55" spans="1:102" s="55" customFormat="1" ht="12">
      <c r="A55" s="50">
        <v>33</v>
      </c>
      <c r="B55" s="46" t="s">
        <v>8</v>
      </c>
      <c r="C55" s="99" t="s">
        <v>36</v>
      </c>
      <c r="I55" s="314"/>
      <c r="J55" s="314"/>
      <c r="K55" s="227">
        <f t="shared" si="34"/>
        <v>0</v>
      </c>
      <c r="L55" s="314"/>
      <c r="M55" s="314"/>
      <c r="N55" s="227">
        <f t="shared" si="35"/>
        <v>0</v>
      </c>
      <c r="O55" s="314"/>
      <c r="P55" s="314"/>
      <c r="Q55" s="314"/>
      <c r="R55" s="226">
        <f t="shared" si="29"/>
        <v>0</v>
      </c>
      <c r="S55" s="314"/>
      <c r="T55" s="314"/>
      <c r="U55" s="314"/>
      <c r="V55" s="314"/>
      <c r="W55" s="314"/>
      <c r="X55" s="314"/>
      <c r="Y55" s="314"/>
      <c r="Z55" s="314"/>
      <c r="AA55" s="314"/>
      <c r="AB55" s="314"/>
      <c r="AC55" s="314"/>
      <c r="AD55" s="314"/>
      <c r="AE55" s="314"/>
      <c r="AF55" s="314"/>
      <c r="AG55" s="314"/>
      <c r="AH55" s="314"/>
      <c r="AI55" s="314"/>
      <c r="AJ55" s="314"/>
      <c r="AK55" s="314"/>
      <c r="AL55" s="314"/>
      <c r="AM55" s="314"/>
      <c r="AN55" s="314"/>
      <c r="AO55" s="314"/>
      <c r="AP55" s="314"/>
      <c r="AQ55" s="314"/>
      <c r="AR55" s="314"/>
      <c r="AS55" s="314"/>
      <c r="AT55" s="314"/>
      <c r="AU55" s="314"/>
      <c r="AV55" s="314"/>
      <c r="AW55" s="314"/>
      <c r="AX55" s="314"/>
      <c r="AY55" s="314"/>
      <c r="AZ55" s="314"/>
      <c r="BA55" s="314"/>
      <c r="BB55" s="314"/>
      <c r="BC55" s="314"/>
      <c r="BD55" s="314"/>
      <c r="BE55" s="314"/>
      <c r="BF55" s="57">
        <f t="shared" si="36"/>
        <v>0</v>
      </c>
      <c r="BG55" s="315"/>
      <c r="BH55" s="315"/>
      <c r="BI55" s="315"/>
      <c r="BJ55" s="315"/>
      <c r="BK55" s="315"/>
      <c r="BL55" s="315"/>
      <c r="BM55" s="315"/>
      <c r="BN55" s="315"/>
      <c r="BO55" s="315"/>
      <c r="BP55" s="315"/>
      <c r="BQ55" s="315"/>
      <c r="BR55" s="315"/>
      <c r="BS55" s="57">
        <f t="shared" si="30"/>
        <v>0</v>
      </c>
      <c r="BT55" s="314"/>
      <c r="BU55" s="315"/>
      <c r="BV55" s="315"/>
      <c r="BW55" s="57">
        <f t="shared" si="31"/>
        <v>0</v>
      </c>
      <c r="BX55" s="315"/>
      <c r="BY55" s="315"/>
      <c r="BZ55" s="315"/>
      <c r="CA55" s="315"/>
      <c r="CB55" s="315"/>
      <c r="CC55" s="315"/>
      <c r="CD55" s="315"/>
      <c r="CE55" s="1090">
        <f t="shared" si="32"/>
        <v>0</v>
      </c>
      <c r="CF55" s="315"/>
      <c r="CG55" s="315"/>
      <c r="CH55" s="57">
        <f t="shared" si="37"/>
        <v>0</v>
      </c>
      <c r="CI55" s="57">
        <f t="shared" si="33"/>
        <v>0</v>
      </c>
      <c r="CK55" s="315"/>
      <c r="CL55" s="315"/>
      <c r="CM55" s="315"/>
      <c r="CN55" s="314"/>
      <c r="CO55" s="315"/>
      <c r="CP55" s="315"/>
      <c r="CQ55" s="315"/>
      <c r="CR55" s="1088"/>
      <c r="CS55" s="1088"/>
      <c r="CT55" s="1088"/>
      <c r="CU55" s="1088"/>
      <c r="CV55" s="1085"/>
      <c r="CW55" s="91"/>
      <c r="CX55" s="779"/>
    </row>
    <row r="56" spans="1:102" s="55" customFormat="1" ht="12">
      <c r="A56" s="50">
        <v>34</v>
      </c>
      <c r="B56" s="46" t="s">
        <v>38</v>
      </c>
      <c r="C56" s="99" t="s">
        <v>36</v>
      </c>
      <c r="I56" s="314"/>
      <c r="J56" s="314"/>
      <c r="K56" s="227">
        <f t="shared" si="34"/>
        <v>0</v>
      </c>
      <c r="L56" s="314"/>
      <c r="M56" s="314"/>
      <c r="N56" s="227">
        <f t="shared" si="35"/>
        <v>0</v>
      </c>
      <c r="O56" s="314"/>
      <c r="P56" s="314"/>
      <c r="Q56" s="314"/>
      <c r="R56" s="226">
        <f t="shared" si="29"/>
        <v>0</v>
      </c>
      <c r="S56" s="315"/>
      <c r="T56" s="315"/>
      <c r="U56" s="315"/>
      <c r="V56" s="315"/>
      <c r="W56" s="315"/>
      <c r="X56" s="315"/>
      <c r="Y56" s="315"/>
      <c r="Z56" s="315"/>
      <c r="AA56" s="315"/>
      <c r="AB56" s="315"/>
      <c r="AC56" s="315"/>
      <c r="AD56" s="315"/>
      <c r="AE56" s="315"/>
      <c r="AF56" s="315"/>
      <c r="AG56" s="315"/>
      <c r="AH56" s="315"/>
      <c r="AI56" s="315"/>
      <c r="AJ56" s="315"/>
      <c r="AK56" s="315"/>
      <c r="AL56" s="315"/>
      <c r="AM56" s="315"/>
      <c r="AN56" s="315"/>
      <c r="AO56" s="315"/>
      <c r="AP56" s="315"/>
      <c r="AQ56" s="315"/>
      <c r="AR56" s="315"/>
      <c r="AS56" s="315"/>
      <c r="AT56" s="315"/>
      <c r="AU56" s="315"/>
      <c r="AV56" s="315"/>
      <c r="AW56" s="315"/>
      <c r="AX56" s="315"/>
      <c r="AY56" s="315"/>
      <c r="AZ56" s="315"/>
      <c r="BA56" s="315"/>
      <c r="BB56" s="315"/>
      <c r="BC56" s="315"/>
      <c r="BD56" s="315"/>
      <c r="BE56" s="315"/>
      <c r="BF56" s="57">
        <f t="shared" si="36"/>
        <v>0</v>
      </c>
      <c r="BG56" s="315"/>
      <c r="BH56" s="315"/>
      <c r="BI56" s="315"/>
      <c r="BJ56" s="315"/>
      <c r="BK56" s="315"/>
      <c r="BL56" s="315"/>
      <c r="BM56" s="315"/>
      <c r="BN56" s="315"/>
      <c r="BO56" s="315"/>
      <c r="BP56" s="315"/>
      <c r="BQ56" s="315"/>
      <c r="BR56" s="315"/>
      <c r="BS56" s="57">
        <f t="shared" si="30"/>
        <v>0</v>
      </c>
      <c r="BT56" s="315"/>
      <c r="BU56" s="315"/>
      <c r="BV56" s="315"/>
      <c r="BW56" s="57">
        <f t="shared" si="31"/>
        <v>0</v>
      </c>
      <c r="BX56" s="315"/>
      <c r="BY56" s="315"/>
      <c r="BZ56" s="315"/>
      <c r="CA56" s="315"/>
      <c r="CB56" s="315"/>
      <c r="CC56" s="315"/>
      <c r="CD56" s="315"/>
      <c r="CE56" s="1090">
        <f t="shared" si="32"/>
        <v>0</v>
      </c>
      <c r="CF56" s="315"/>
      <c r="CG56" s="315"/>
      <c r="CH56" s="57">
        <f t="shared" si="37"/>
        <v>0</v>
      </c>
      <c r="CI56" s="57">
        <f t="shared" si="33"/>
        <v>0</v>
      </c>
      <c r="CK56" s="315"/>
      <c r="CL56" s="315"/>
      <c r="CM56" s="315"/>
      <c r="CN56" s="315"/>
      <c r="CO56" s="314"/>
      <c r="CP56" s="315"/>
      <c r="CQ56" s="315"/>
      <c r="CR56" s="1088"/>
      <c r="CS56" s="1088"/>
      <c r="CT56" s="1088"/>
      <c r="CU56" s="1088"/>
      <c r="CV56" s="1085"/>
      <c r="CW56" s="91"/>
      <c r="CX56" s="779"/>
    </row>
    <row r="57" spans="1:102" s="55" customFormat="1" ht="12">
      <c r="A57" s="50">
        <v>35</v>
      </c>
      <c r="B57" s="46" t="s">
        <v>54</v>
      </c>
      <c r="C57" s="99" t="s">
        <v>36</v>
      </c>
      <c r="I57" s="314"/>
      <c r="J57" s="314"/>
      <c r="K57" s="227">
        <f t="shared" si="34"/>
        <v>0</v>
      </c>
      <c r="L57" s="314"/>
      <c r="M57" s="314"/>
      <c r="N57" s="227">
        <f t="shared" si="35"/>
        <v>0</v>
      </c>
      <c r="O57" s="314"/>
      <c r="P57" s="314"/>
      <c r="Q57" s="314"/>
      <c r="R57" s="226">
        <f t="shared" si="29"/>
        <v>0</v>
      </c>
      <c r="S57" s="314"/>
      <c r="T57" s="314"/>
      <c r="U57" s="314"/>
      <c r="V57" s="314"/>
      <c r="W57" s="314"/>
      <c r="X57" s="314"/>
      <c r="Y57" s="314"/>
      <c r="Z57" s="314"/>
      <c r="AA57" s="314"/>
      <c r="AB57" s="314"/>
      <c r="AC57" s="314"/>
      <c r="AD57" s="314"/>
      <c r="AE57" s="314"/>
      <c r="AF57" s="314"/>
      <c r="AG57" s="314"/>
      <c r="AH57" s="314"/>
      <c r="AI57" s="314"/>
      <c r="AJ57" s="314"/>
      <c r="AK57" s="314"/>
      <c r="AL57" s="314"/>
      <c r="AM57" s="314"/>
      <c r="AN57" s="314"/>
      <c r="AO57" s="314"/>
      <c r="AP57" s="314"/>
      <c r="AQ57" s="314"/>
      <c r="AR57" s="314"/>
      <c r="AS57" s="314"/>
      <c r="AT57" s="314"/>
      <c r="AU57" s="314"/>
      <c r="AV57" s="314"/>
      <c r="AW57" s="314"/>
      <c r="AX57" s="314"/>
      <c r="AY57" s="314"/>
      <c r="AZ57" s="314"/>
      <c r="BA57" s="314"/>
      <c r="BB57" s="314"/>
      <c r="BC57" s="314"/>
      <c r="BD57" s="314"/>
      <c r="BE57" s="314"/>
      <c r="BF57" s="57">
        <f t="shared" si="36"/>
        <v>0</v>
      </c>
      <c r="BG57" s="314"/>
      <c r="BH57" s="314"/>
      <c r="BI57" s="314"/>
      <c r="BJ57" s="314"/>
      <c r="BK57" s="314"/>
      <c r="BL57" s="314"/>
      <c r="BM57" s="314"/>
      <c r="BN57" s="314"/>
      <c r="BO57" s="314"/>
      <c r="BP57" s="314"/>
      <c r="BQ57" s="314"/>
      <c r="BR57" s="314"/>
      <c r="BS57" s="57">
        <f t="shared" si="30"/>
        <v>0</v>
      </c>
      <c r="BT57" s="315"/>
      <c r="BU57" s="315"/>
      <c r="BV57" s="315"/>
      <c r="BW57" s="57">
        <f t="shared" si="31"/>
        <v>0</v>
      </c>
      <c r="BX57" s="314"/>
      <c r="BY57" s="314"/>
      <c r="BZ57" s="314"/>
      <c r="CA57" s="314"/>
      <c r="CB57" s="314"/>
      <c r="CC57" s="314"/>
      <c r="CD57" s="314"/>
      <c r="CE57" s="1090">
        <f t="shared" si="32"/>
        <v>0</v>
      </c>
      <c r="CF57" s="315"/>
      <c r="CG57" s="315"/>
      <c r="CH57" s="57">
        <f t="shared" si="37"/>
        <v>0</v>
      </c>
      <c r="CI57" s="57">
        <f t="shared" si="33"/>
        <v>0</v>
      </c>
      <c r="CK57" s="314"/>
      <c r="CL57" s="315"/>
      <c r="CM57" s="315"/>
      <c r="CN57" s="315"/>
      <c r="CO57" s="314"/>
      <c r="CP57" s="315"/>
      <c r="CQ57" s="314"/>
      <c r="CR57" s="1088"/>
      <c r="CS57" s="1088"/>
      <c r="CT57" s="1088"/>
      <c r="CU57" s="1088"/>
      <c r="CV57" s="1085"/>
      <c r="CW57" s="91"/>
      <c r="CX57" s="779"/>
    </row>
    <row r="58" spans="1:102" s="55" customFormat="1" ht="12">
      <c r="A58" s="50">
        <v>36</v>
      </c>
      <c r="B58" s="46" t="s">
        <v>55</v>
      </c>
      <c r="C58" s="99" t="s">
        <v>50</v>
      </c>
      <c r="I58" s="314"/>
      <c r="J58" s="314"/>
      <c r="K58" s="227">
        <f t="shared" si="34"/>
        <v>0</v>
      </c>
      <c r="L58" s="314"/>
      <c r="M58" s="314"/>
      <c r="N58" s="227">
        <f t="shared" si="35"/>
        <v>0</v>
      </c>
      <c r="O58" s="314"/>
      <c r="P58" s="314"/>
      <c r="Q58" s="314"/>
      <c r="R58" s="226">
        <f t="shared" si="29"/>
        <v>0</v>
      </c>
      <c r="S58" s="314"/>
      <c r="T58" s="314"/>
      <c r="U58" s="314"/>
      <c r="V58" s="314"/>
      <c r="W58" s="314"/>
      <c r="X58" s="314"/>
      <c r="Y58" s="314"/>
      <c r="Z58" s="314"/>
      <c r="AA58" s="314"/>
      <c r="AB58" s="314"/>
      <c r="AC58" s="314"/>
      <c r="AD58" s="314"/>
      <c r="AE58" s="314"/>
      <c r="AF58" s="314"/>
      <c r="AG58" s="314"/>
      <c r="AH58" s="314"/>
      <c r="AI58" s="314"/>
      <c r="AJ58" s="314"/>
      <c r="AK58" s="314"/>
      <c r="AL58" s="314"/>
      <c r="AM58" s="314"/>
      <c r="AN58" s="314"/>
      <c r="AO58" s="314"/>
      <c r="AP58" s="314"/>
      <c r="AQ58" s="314"/>
      <c r="AR58" s="314"/>
      <c r="AS58" s="314"/>
      <c r="AT58" s="314"/>
      <c r="AU58" s="314"/>
      <c r="AV58" s="314"/>
      <c r="AW58" s="314"/>
      <c r="AX58" s="314"/>
      <c r="AY58" s="314"/>
      <c r="AZ58" s="314"/>
      <c r="BA58" s="314"/>
      <c r="BB58" s="314"/>
      <c r="BC58" s="314"/>
      <c r="BD58" s="314"/>
      <c r="BE58" s="314"/>
      <c r="BF58" s="57">
        <f t="shared" si="36"/>
        <v>0</v>
      </c>
      <c r="BG58" s="314"/>
      <c r="BH58" s="314"/>
      <c r="BI58" s="314"/>
      <c r="BJ58" s="314"/>
      <c r="BK58" s="314"/>
      <c r="BL58" s="314"/>
      <c r="BM58" s="314"/>
      <c r="BN58" s="314"/>
      <c r="BO58" s="314"/>
      <c r="BP58" s="314"/>
      <c r="BQ58" s="314"/>
      <c r="BR58" s="314"/>
      <c r="BS58" s="57">
        <f t="shared" si="30"/>
        <v>0</v>
      </c>
      <c r="BT58" s="315"/>
      <c r="BU58" s="315"/>
      <c r="BV58" s="315"/>
      <c r="BW58" s="57">
        <f t="shared" si="31"/>
        <v>0</v>
      </c>
      <c r="BX58" s="314"/>
      <c r="BY58" s="314"/>
      <c r="BZ58" s="314"/>
      <c r="CA58" s="314"/>
      <c r="CB58" s="314"/>
      <c r="CC58" s="314"/>
      <c r="CD58" s="314"/>
      <c r="CE58" s="1090">
        <f t="shared" si="32"/>
        <v>0</v>
      </c>
      <c r="CF58" s="314"/>
      <c r="CG58" s="314"/>
      <c r="CH58" s="57">
        <f t="shared" si="37"/>
        <v>0</v>
      </c>
      <c r="CI58" s="57">
        <f t="shared" si="33"/>
        <v>0</v>
      </c>
      <c r="CK58" s="314"/>
      <c r="CL58" s="315"/>
      <c r="CM58" s="315"/>
      <c r="CN58" s="315"/>
      <c r="CO58" s="315"/>
      <c r="CP58" s="315"/>
      <c r="CQ58" s="315"/>
      <c r="CR58" s="1088"/>
      <c r="CS58" s="1088"/>
      <c r="CT58" s="1088"/>
      <c r="CU58" s="1088"/>
      <c r="CV58" s="1085"/>
      <c r="CW58" s="91"/>
      <c r="CX58" s="779"/>
    </row>
    <row r="59" spans="1:102" s="55" customFormat="1" ht="12">
      <c r="A59" s="50">
        <v>39</v>
      </c>
      <c r="B59" s="46" t="s">
        <v>56</v>
      </c>
      <c r="C59" s="99" t="s">
        <v>57</v>
      </c>
      <c r="I59" s="314"/>
      <c r="J59" s="314"/>
      <c r="K59" s="227">
        <f t="shared" si="34"/>
        <v>0</v>
      </c>
      <c r="L59" s="314"/>
      <c r="M59" s="314"/>
      <c r="N59" s="227">
        <f t="shared" si="35"/>
        <v>0</v>
      </c>
      <c r="O59" s="314"/>
      <c r="P59" s="314"/>
      <c r="Q59" s="314"/>
      <c r="R59" s="226">
        <f t="shared" si="29"/>
        <v>0</v>
      </c>
      <c r="S59" s="314"/>
      <c r="T59" s="314"/>
      <c r="U59" s="314"/>
      <c r="V59" s="314"/>
      <c r="W59" s="314"/>
      <c r="X59" s="314"/>
      <c r="Y59" s="314"/>
      <c r="Z59" s="314"/>
      <c r="AA59" s="314"/>
      <c r="AB59" s="314"/>
      <c r="AC59" s="314"/>
      <c r="AD59" s="314"/>
      <c r="AE59" s="314"/>
      <c r="AF59" s="314"/>
      <c r="AG59" s="314"/>
      <c r="AH59" s="314"/>
      <c r="AI59" s="314"/>
      <c r="AJ59" s="314"/>
      <c r="AK59" s="314"/>
      <c r="AL59" s="314"/>
      <c r="AM59" s="314"/>
      <c r="AN59" s="314"/>
      <c r="AO59" s="314"/>
      <c r="AP59" s="314"/>
      <c r="AQ59" s="314"/>
      <c r="AR59" s="314"/>
      <c r="AS59" s="314"/>
      <c r="AT59" s="314"/>
      <c r="AU59" s="314"/>
      <c r="AV59" s="314"/>
      <c r="AW59" s="314"/>
      <c r="AX59" s="314"/>
      <c r="AY59" s="314"/>
      <c r="AZ59" s="314"/>
      <c r="BA59" s="314"/>
      <c r="BB59" s="314"/>
      <c r="BC59" s="314"/>
      <c r="BD59" s="314"/>
      <c r="BE59" s="314"/>
      <c r="BF59" s="57">
        <f t="shared" si="36"/>
        <v>0</v>
      </c>
      <c r="BG59" s="314"/>
      <c r="BH59" s="314"/>
      <c r="BI59" s="314"/>
      <c r="BJ59" s="314"/>
      <c r="BK59" s="314"/>
      <c r="BL59" s="314"/>
      <c r="BM59" s="314"/>
      <c r="BN59" s="314"/>
      <c r="BO59" s="314"/>
      <c r="BP59" s="314"/>
      <c r="BQ59" s="314"/>
      <c r="BR59" s="314"/>
      <c r="BS59" s="57">
        <f t="shared" si="30"/>
        <v>0</v>
      </c>
      <c r="BT59" s="314"/>
      <c r="BU59" s="314"/>
      <c r="BV59" s="314"/>
      <c r="BW59" s="57">
        <f t="shared" si="31"/>
        <v>0</v>
      </c>
      <c r="BX59" s="315"/>
      <c r="BY59" s="315"/>
      <c r="BZ59" s="315"/>
      <c r="CA59" s="315"/>
      <c r="CB59" s="315"/>
      <c r="CC59" s="315"/>
      <c r="CD59" s="315"/>
      <c r="CE59" s="1090">
        <f t="shared" si="32"/>
        <v>0</v>
      </c>
      <c r="CF59" s="314"/>
      <c r="CG59" s="314"/>
      <c r="CH59" s="57">
        <f t="shared" si="37"/>
        <v>0</v>
      </c>
      <c r="CI59" s="57">
        <f t="shared" si="33"/>
        <v>0</v>
      </c>
      <c r="CK59" s="314"/>
      <c r="CL59" s="315"/>
      <c r="CM59" s="315"/>
      <c r="CN59" s="315"/>
      <c r="CO59" s="315"/>
      <c r="CP59" s="1074"/>
      <c r="CQ59" s="315"/>
      <c r="CR59" s="1088"/>
      <c r="CS59" s="1088"/>
      <c r="CT59" s="1088"/>
      <c r="CU59" s="1088"/>
      <c r="CV59" s="1085"/>
      <c r="CW59" s="91"/>
      <c r="CX59" s="779"/>
    </row>
    <row r="60" spans="1:102" s="55" customFormat="1" ht="12">
      <c r="A60" s="50">
        <v>41</v>
      </c>
      <c r="B60" s="46" t="s">
        <v>39</v>
      </c>
      <c r="C60" s="99" t="s">
        <v>71</v>
      </c>
      <c r="I60" s="314"/>
      <c r="J60" s="314"/>
      <c r="K60" s="227">
        <f t="shared" si="34"/>
        <v>0</v>
      </c>
      <c r="L60" s="314"/>
      <c r="M60" s="314"/>
      <c r="N60" s="227">
        <f t="shared" si="35"/>
        <v>0</v>
      </c>
      <c r="O60" s="314"/>
      <c r="P60" s="314"/>
      <c r="Q60" s="314"/>
      <c r="R60" s="226">
        <f t="shared" si="29"/>
        <v>0</v>
      </c>
      <c r="S60" s="314"/>
      <c r="T60" s="314"/>
      <c r="U60" s="314"/>
      <c r="V60" s="314"/>
      <c r="W60" s="314"/>
      <c r="X60" s="314"/>
      <c r="Y60" s="314"/>
      <c r="Z60" s="314"/>
      <c r="AA60" s="314"/>
      <c r="AB60" s="314"/>
      <c r="AC60" s="314"/>
      <c r="AD60" s="314"/>
      <c r="AE60" s="314"/>
      <c r="AF60" s="314"/>
      <c r="AG60" s="314"/>
      <c r="AH60" s="314"/>
      <c r="AI60" s="314"/>
      <c r="AJ60" s="314"/>
      <c r="AK60" s="314"/>
      <c r="AL60" s="314"/>
      <c r="AM60" s="314"/>
      <c r="AN60" s="314"/>
      <c r="AO60" s="314"/>
      <c r="AP60" s="314"/>
      <c r="AQ60" s="314"/>
      <c r="AR60" s="314"/>
      <c r="AS60" s="314"/>
      <c r="AT60" s="314"/>
      <c r="AU60" s="314"/>
      <c r="AV60" s="314"/>
      <c r="AW60" s="314"/>
      <c r="AX60" s="314"/>
      <c r="AY60" s="314"/>
      <c r="AZ60" s="314"/>
      <c r="BA60" s="314"/>
      <c r="BB60" s="314"/>
      <c r="BC60" s="314"/>
      <c r="BD60" s="314"/>
      <c r="BE60" s="314"/>
      <c r="BF60" s="57">
        <f t="shared" si="36"/>
        <v>0</v>
      </c>
      <c r="BG60" s="314"/>
      <c r="BH60" s="314"/>
      <c r="BI60" s="314"/>
      <c r="BJ60" s="314"/>
      <c r="BK60" s="314"/>
      <c r="BL60" s="314"/>
      <c r="BM60" s="314"/>
      <c r="BN60" s="314"/>
      <c r="BO60" s="314"/>
      <c r="BP60" s="314"/>
      <c r="BQ60" s="314"/>
      <c r="BR60" s="314"/>
      <c r="BS60" s="57">
        <f t="shared" si="30"/>
        <v>0</v>
      </c>
      <c r="BT60" s="314"/>
      <c r="BU60" s="314"/>
      <c r="BV60" s="314"/>
      <c r="BW60" s="57">
        <f t="shared" si="31"/>
        <v>0</v>
      </c>
      <c r="BX60" s="315"/>
      <c r="BY60" s="315"/>
      <c r="BZ60" s="315"/>
      <c r="CA60" s="315"/>
      <c r="CB60" s="315"/>
      <c r="CC60" s="315"/>
      <c r="CD60" s="315"/>
      <c r="CE60" s="1090">
        <f t="shared" si="32"/>
        <v>0</v>
      </c>
      <c r="CF60" s="315"/>
      <c r="CG60" s="315"/>
      <c r="CH60" s="57">
        <f t="shared" si="37"/>
        <v>0</v>
      </c>
      <c r="CI60" s="57">
        <f t="shared" si="33"/>
        <v>0</v>
      </c>
      <c r="CK60" s="314"/>
      <c r="CL60" s="315"/>
      <c r="CM60" s="315"/>
      <c r="CN60" s="315"/>
      <c r="CO60" s="315"/>
      <c r="CP60" s="1074"/>
      <c r="CQ60" s="315"/>
      <c r="CR60" s="1088"/>
      <c r="CS60" s="1088"/>
      <c r="CT60" s="1088"/>
      <c r="CU60" s="1088"/>
      <c r="CV60" s="1085"/>
      <c r="CW60" s="91"/>
      <c r="CX60" s="779"/>
    </row>
    <row r="61" spans="1:102" s="55" customFormat="1" ht="12">
      <c r="A61" s="50">
        <v>42</v>
      </c>
      <c r="B61" s="46" t="s">
        <v>40</v>
      </c>
      <c r="C61" s="99" t="s">
        <v>58</v>
      </c>
      <c r="I61" s="314"/>
      <c r="J61" s="314"/>
      <c r="K61" s="227">
        <f t="shared" si="34"/>
        <v>0</v>
      </c>
      <c r="L61" s="314"/>
      <c r="M61" s="314"/>
      <c r="N61" s="227">
        <f t="shared" si="35"/>
        <v>0</v>
      </c>
      <c r="O61" s="314"/>
      <c r="P61" s="314"/>
      <c r="Q61" s="314"/>
      <c r="R61" s="226">
        <f t="shared" si="29"/>
        <v>0</v>
      </c>
      <c r="S61" s="314"/>
      <c r="T61" s="314"/>
      <c r="U61" s="314"/>
      <c r="V61" s="314"/>
      <c r="W61" s="314"/>
      <c r="X61" s="314"/>
      <c r="Y61" s="314"/>
      <c r="Z61" s="314"/>
      <c r="AA61" s="314"/>
      <c r="AB61" s="314"/>
      <c r="AC61" s="314"/>
      <c r="AD61" s="314"/>
      <c r="AE61" s="314"/>
      <c r="AF61" s="314"/>
      <c r="AG61" s="314"/>
      <c r="AH61" s="314"/>
      <c r="AI61" s="314"/>
      <c r="AJ61" s="314"/>
      <c r="AK61" s="314"/>
      <c r="AL61" s="314"/>
      <c r="AM61" s="314"/>
      <c r="AN61" s="314"/>
      <c r="AO61" s="314"/>
      <c r="AP61" s="314"/>
      <c r="AQ61" s="314"/>
      <c r="AR61" s="314"/>
      <c r="AS61" s="314"/>
      <c r="AT61" s="314"/>
      <c r="AU61" s="314"/>
      <c r="AV61" s="314"/>
      <c r="AW61" s="314"/>
      <c r="AX61" s="314"/>
      <c r="AY61" s="314"/>
      <c r="AZ61" s="314"/>
      <c r="BA61" s="314"/>
      <c r="BB61" s="314"/>
      <c r="BC61" s="314"/>
      <c r="BD61" s="314"/>
      <c r="BE61" s="314"/>
      <c r="BF61" s="57">
        <f t="shared" si="36"/>
        <v>0</v>
      </c>
      <c r="BG61" s="314"/>
      <c r="BH61" s="314"/>
      <c r="BI61" s="314"/>
      <c r="BJ61" s="314"/>
      <c r="BK61" s="314"/>
      <c r="BL61" s="314"/>
      <c r="BM61" s="314"/>
      <c r="BN61" s="314"/>
      <c r="BO61" s="314"/>
      <c r="BP61" s="314"/>
      <c r="BQ61" s="314"/>
      <c r="BR61" s="314"/>
      <c r="BS61" s="57">
        <f t="shared" si="30"/>
        <v>0</v>
      </c>
      <c r="BT61" s="314"/>
      <c r="BU61" s="314"/>
      <c r="BV61" s="314"/>
      <c r="BW61" s="57">
        <f t="shared" si="31"/>
        <v>0</v>
      </c>
      <c r="BX61" s="314"/>
      <c r="BY61" s="314"/>
      <c r="BZ61" s="314"/>
      <c r="CA61" s="314"/>
      <c r="CB61" s="314"/>
      <c r="CC61" s="314"/>
      <c r="CD61" s="314"/>
      <c r="CE61" s="1090">
        <f t="shared" si="32"/>
        <v>0</v>
      </c>
      <c r="CF61" s="315"/>
      <c r="CG61" s="315"/>
      <c r="CH61" s="57">
        <f t="shared" si="37"/>
        <v>0</v>
      </c>
      <c r="CI61" s="57">
        <f t="shared" si="33"/>
        <v>0</v>
      </c>
      <c r="CK61" s="314"/>
      <c r="CL61" s="315"/>
      <c r="CM61" s="315"/>
      <c r="CN61" s="315"/>
      <c r="CO61" s="315"/>
      <c r="CP61" s="315"/>
      <c r="CQ61" s="315"/>
      <c r="CR61" s="1087"/>
      <c r="CS61" s="1088"/>
      <c r="CT61" s="1088"/>
      <c r="CU61" s="1088"/>
      <c r="CV61" s="1085"/>
      <c r="CW61" s="91"/>
      <c r="CX61" s="779"/>
    </row>
    <row r="62" spans="1:102" s="55" customFormat="1" ht="12">
      <c r="A62" s="50">
        <v>43</v>
      </c>
      <c r="B62" s="46" t="s">
        <v>41</v>
      </c>
      <c r="C62" s="99" t="s">
        <v>59</v>
      </c>
      <c r="I62" s="314"/>
      <c r="J62" s="314"/>
      <c r="K62" s="227">
        <f t="shared" si="34"/>
        <v>0</v>
      </c>
      <c r="L62" s="314"/>
      <c r="M62" s="314"/>
      <c r="N62" s="227">
        <f t="shared" si="35"/>
        <v>0</v>
      </c>
      <c r="O62" s="314"/>
      <c r="P62" s="314"/>
      <c r="Q62" s="314"/>
      <c r="R62" s="226">
        <f t="shared" si="29"/>
        <v>0</v>
      </c>
      <c r="S62" s="314"/>
      <c r="T62" s="314"/>
      <c r="U62" s="314"/>
      <c r="V62" s="314"/>
      <c r="W62" s="314"/>
      <c r="X62" s="314"/>
      <c r="Y62" s="314"/>
      <c r="Z62" s="314"/>
      <c r="AA62" s="314"/>
      <c r="AB62" s="314"/>
      <c r="AC62" s="314"/>
      <c r="AD62" s="314"/>
      <c r="AE62" s="314"/>
      <c r="AF62" s="314"/>
      <c r="AG62" s="314"/>
      <c r="AH62" s="314"/>
      <c r="AI62" s="314"/>
      <c r="AJ62" s="314"/>
      <c r="AK62" s="314"/>
      <c r="AL62" s="314"/>
      <c r="AM62" s="314"/>
      <c r="AN62" s="314"/>
      <c r="AO62" s="314"/>
      <c r="AP62" s="314"/>
      <c r="AQ62" s="314"/>
      <c r="AR62" s="314"/>
      <c r="AS62" s="314"/>
      <c r="AT62" s="314"/>
      <c r="AU62" s="314"/>
      <c r="AV62" s="314"/>
      <c r="AW62" s="314"/>
      <c r="AX62" s="314"/>
      <c r="AY62" s="314"/>
      <c r="AZ62" s="314"/>
      <c r="BA62" s="314"/>
      <c r="BB62" s="314"/>
      <c r="BC62" s="314"/>
      <c r="BD62" s="314"/>
      <c r="BE62" s="314"/>
      <c r="BF62" s="57">
        <f t="shared" si="36"/>
        <v>0</v>
      </c>
      <c r="BG62" s="314"/>
      <c r="BH62" s="314"/>
      <c r="BI62" s="314"/>
      <c r="BJ62" s="314"/>
      <c r="BK62" s="314"/>
      <c r="BL62" s="314"/>
      <c r="BM62" s="314"/>
      <c r="BN62" s="314"/>
      <c r="BO62" s="314"/>
      <c r="BP62" s="314"/>
      <c r="BQ62" s="314"/>
      <c r="BR62" s="314"/>
      <c r="BS62" s="57">
        <f t="shared" si="30"/>
        <v>0</v>
      </c>
      <c r="BT62" s="314"/>
      <c r="BU62" s="314"/>
      <c r="BV62" s="314"/>
      <c r="BW62" s="57">
        <f t="shared" si="31"/>
        <v>0</v>
      </c>
      <c r="BX62" s="314"/>
      <c r="BY62" s="314"/>
      <c r="BZ62" s="314"/>
      <c r="CA62" s="314"/>
      <c r="CB62" s="314"/>
      <c r="CC62" s="314"/>
      <c r="CD62" s="314"/>
      <c r="CE62" s="1090">
        <f t="shared" si="32"/>
        <v>0</v>
      </c>
      <c r="CF62" s="315"/>
      <c r="CG62" s="315"/>
      <c r="CH62" s="57">
        <f t="shared" si="37"/>
        <v>0</v>
      </c>
      <c r="CI62" s="57">
        <f t="shared" si="33"/>
        <v>0</v>
      </c>
      <c r="CK62" s="314"/>
      <c r="CL62" s="315"/>
      <c r="CM62" s="315"/>
      <c r="CN62" s="315"/>
      <c r="CO62" s="315"/>
      <c r="CP62" s="315"/>
      <c r="CQ62" s="315"/>
      <c r="CR62" s="1087"/>
      <c r="CS62" s="1088"/>
      <c r="CT62" s="1088"/>
      <c r="CU62" s="1088"/>
      <c r="CV62" s="1085"/>
      <c r="CW62" s="91"/>
      <c r="CX62" s="779"/>
    </row>
    <row r="63" spans="1:102" s="55" customFormat="1" ht="12">
      <c r="A63" s="50">
        <v>44</v>
      </c>
      <c r="B63" s="46" t="s">
        <v>42</v>
      </c>
      <c r="C63" s="99" t="s">
        <v>59</v>
      </c>
      <c r="I63" s="314"/>
      <c r="J63" s="314"/>
      <c r="K63" s="227">
        <f t="shared" si="34"/>
        <v>0</v>
      </c>
      <c r="L63" s="314"/>
      <c r="M63" s="314"/>
      <c r="N63" s="227">
        <f t="shared" si="35"/>
        <v>0</v>
      </c>
      <c r="O63" s="314"/>
      <c r="P63" s="314"/>
      <c r="Q63" s="314"/>
      <c r="R63" s="226">
        <f t="shared" si="29"/>
        <v>0</v>
      </c>
      <c r="S63" s="314"/>
      <c r="T63" s="314"/>
      <c r="U63" s="314"/>
      <c r="V63" s="314"/>
      <c r="W63" s="314"/>
      <c r="X63" s="314"/>
      <c r="Y63" s="314"/>
      <c r="Z63" s="314"/>
      <c r="AA63" s="314"/>
      <c r="AB63" s="314"/>
      <c r="AC63" s="314"/>
      <c r="AD63" s="314"/>
      <c r="AE63" s="314"/>
      <c r="AF63" s="314"/>
      <c r="AG63" s="314"/>
      <c r="AH63" s="314"/>
      <c r="AI63" s="314"/>
      <c r="AJ63" s="314"/>
      <c r="AK63" s="314"/>
      <c r="AL63" s="314"/>
      <c r="AM63" s="314"/>
      <c r="AN63" s="314"/>
      <c r="AO63" s="314"/>
      <c r="AP63" s="314"/>
      <c r="AQ63" s="314"/>
      <c r="AR63" s="314"/>
      <c r="AS63" s="314"/>
      <c r="AT63" s="314"/>
      <c r="AU63" s="314"/>
      <c r="AV63" s="314"/>
      <c r="AW63" s="314"/>
      <c r="AX63" s="314"/>
      <c r="AY63" s="314"/>
      <c r="AZ63" s="314"/>
      <c r="BA63" s="314"/>
      <c r="BB63" s="314"/>
      <c r="BC63" s="314"/>
      <c r="BD63" s="314"/>
      <c r="BE63" s="314"/>
      <c r="BF63" s="57">
        <f t="shared" si="36"/>
        <v>0</v>
      </c>
      <c r="BG63" s="314"/>
      <c r="BH63" s="314"/>
      <c r="BI63" s="314"/>
      <c r="BJ63" s="314"/>
      <c r="BK63" s="314"/>
      <c r="BL63" s="314"/>
      <c r="BM63" s="314"/>
      <c r="BN63" s="314"/>
      <c r="BO63" s="314"/>
      <c r="BP63" s="314"/>
      <c r="BQ63" s="314"/>
      <c r="BR63" s="314"/>
      <c r="BS63" s="57">
        <f t="shared" si="30"/>
        <v>0</v>
      </c>
      <c r="BT63" s="315"/>
      <c r="BU63" s="315"/>
      <c r="BV63" s="315"/>
      <c r="BW63" s="57">
        <f t="shared" si="31"/>
        <v>0</v>
      </c>
      <c r="BX63" s="314"/>
      <c r="BY63" s="314"/>
      <c r="BZ63" s="314"/>
      <c r="CA63" s="314"/>
      <c r="CB63" s="314"/>
      <c r="CC63" s="314"/>
      <c r="CD63" s="314"/>
      <c r="CE63" s="1090">
        <f t="shared" si="32"/>
        <v>0</v>
      </c>
      <c r="CF63" s="315"/>
      <c r="CG63" s="315"/>
      <c r="CH63" s="57">
        <f t="shared" si="37"/>
        <v>0</v>
      </c>
      <c r="CI63" s="57">
        <f t="shared" si="33"/>
        <v>0</v>
      </c>
      <c r="CK63" s="314"/>
      <c r="CL63" s="315"/>
      <c r="CM63" s="315"/>
      <c r="CN63" s="315"/>
      <c r="CO63" s="315"/>
      <c r="CP63" s="315"/>
      <c r="CQ63" s="315"/>
      <c r="CR63" s="1088"/>
      <c r="CS63" s="1088"/>
      <c r="CT63" s="1088"/>
      <c r="CU63" s="1088"/>
      <c r="CV63" s="1083"/>
      <c r="CW63" s="91"/>
      <c r="CX63" s="779"/>
    </row>
    <row r="64" spans="1:102" s="55" customFormat="1" ht="12">
      <c r="A64" s="50">
        <v>45</v>
      </c>
      <c r="B64" s="47" t="s">
        <v>127</v>
      </c>
      <c r="C64" s="99" t="s">
        <v>50</v>
      </c>
      <c r="I64" s="1074"/>
      <c r="J64" s="1074"/>
      <c r="K64" s="227">
        <f t="shared" si="34"/>
        <v>0</v>
      </c>
      <c r="L64" s="1074"/>
      <c r="M64" s="1074"/>
      <c r="N64" s="227">
        <f t="shared" si="35"/>
        <v>0</v>
      </c>
      <c r="O64" s="1074"/>
      <c r="P64" s="1074"/>
      <c r="Q64" s="1074"/>
      <c r="R64" s="226">
        <f t="shared" si="29"/>
        <v>0</v>
      </c>
      <c r="S64" s="315"/>
      <c r="T64" s="315"/>
      <c r="U64" s="315"/>
      <c r="V64" s="315"/>
      <c r="W64" s="315"/>
      <c r="X64" s="315"/>
      <c r="Y64" s="315"/>
      <c r="Z64" s="315"/>
      <c r="AA64" s="315"/>
      <c r="AB64" s="315"/>
      <c r="AC64" s="315"/>
      <c r="AD64" s="315"/>
      <c r="AE64" s="315"/>
      <c r="AF64" s="315"/>
      <c r="AG64" s="315"/>
      <c r="AH64" s="315"/>
      <c r="AI64" s="315"/>
      <c r="AJ64" s="315"/>
      <c r="AK64" s="315"/>
      <c r="AL64" s="315"/>
      <c r="AM64" s="315"/>
      <c r="AN64" s="315"/>
      <c r="AO64" s="315"/>
      <c r="AP64" s="315"/>
      <c r="AQ64" s="315"/>
      <c r="AR64" s="315"/>
      <c r="AS64" s="315"/>
      <c r="AT64" s="315"/>
      <c r="AU64" s="315"/>
      <c r="AV64" s="315"/>
      <c r="AW64" s="315"/>
      <c r="AX64" s="315"/>
      <c r="AY64" s="315"/>
      <c r="AZ64" s="315"/>
      <c r="BA64" s="315"/>
      <c r="BB64" s="315"/>
      <c r="BC64" s="315"/>
      <c r="BD64" s="315"/>
      <c r="BE64" s="315"/>
      <c r="BF64" s="57">
        <f>SUM(S64:BE64)</f>
        <v>0</v>
      </c>
      <c r="BG64" s="315"/>
      <c r="BH64" s="315"/>
      <c r="BI64" s="315"/>
      <c r="BJ64" s="315"/>
      <c r="BK64" s="315"/>
      <c r="BL64" s="315"/>
      <c r="BM64" s="315"/>
      <c r="BN64" s="315"/>
      <c r="BO64" s="315"/>
      <c r="BP64" s="315"/>
      <c r="BQ64" s="315"/>
      <c r="BR64" s="315"/>
      <c r="BS64" s="57">
        <f t="shared" si="30"/>
        <v>0</v>
      </c>
      <c r="BT64" s="315"/>
      <c r="BU64" s="315"/>
      <c r="BV64" s="315"/>
      <c r="BW64" s="57">
        <f t="shared" si="31"/>
        <v>0</v>
      </c>
      <c r="BX64" s="315"/>
      <c r="BY64" s="315"/>
      <c r="BZ64" s="315"/>
      <c r="CA64" s="315"/>
      <c r="CB64" s="315"/>
      <c r="CC64" s="315"/>
      <c r="CD64" s="315"/>
      <c r="CE64" s="1090">
        <f t="shared" si="32"/>
        <v>0</v>
      </c>
      <c r="CF64" s="315"/>
      <c r="CG64" s="315"/>
      <c r="CH64" s="57">
        <f t="shared" si="37"/>
        <v>0</v>
      </c>
      <c r="CI64" s="57">
        <f t="shared" si="33"/>
        <v>0</v>
      </c>
      <c r="CK64" s="314"/>
      <c r="CL64" s="315"/>
      <c r="CM64" s="315"/>
      <c r="CN64" s="315"/>
      <c r="CO64" s="315"/>
      <c r="CP64" s="315"/>
      <c r="CQ64" s="315"/>
      <c r="CR64" s="1088"/>
      <c r="CS64" s="1088"/>
      <c r="CT64" s="1088"/>
      <c r="CU64" s="1088"/>
      <c r="CV64" s="1085"/>
      <c r="CW64" s="91"/>
      <c r="CX64" s="779"/>
    </row>
    <row r="65" spans="1:102" s="55" customFormat="1" ht="12">
      <c r="A65" s="50">
        <v>47</v>
      </c>
      <c r="B65" s="47" t="s">
        <v>1415</v>
      </c>
      <c r="C65" s="99" t="s">
        <v>1416</v>
      </c>
      <c r="I65" s="57"/>
      <c r="J65" s="57"/>
      <c r="K65" s="227"/>
      <c r="L65" s="57"/>
      <c r="M65" s="57"/>
      <c r="N65" s="227"/>
      <c r="O65" s="57"/>
      <c r="P65" s="57"/>
      <c r="Q65" s="57"/>
      <c r="R65" s="57">
        <f>SUM(I65:Q65)</f>
        <v>0</v>
      </c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>
        <f t="shared" ref="BF65" si="38">SUM(S65:BE65)</f>
        <v>0</v>
      </c>
      <c r="BG65" s="57"/>
      <c r="BH65" s="57"/>
      <c r="BI65" s="57"/>
      <c r="BJ65" s="57"/>
      <c r="BK65" s="57"/>
      <c r="BL65" s="57"/>
      <c r="BM65" s="57"/>
      <c r="BN65" s="57"/>
      <c r="BO65" s="57"/>
      <c r="BP65" s="57"/>
      <c r="BQ65" s="57"/>
      <c r="BR65" s="57"/>
      <c r="BS65" s="57">
        <f t="shared" ref="BS65" si="39">SUM(BG65:BR65)</f>
        <v>0</v>
      </c>
      <c r="BT65" s="57"/>
      <c r="BU65" s="57"/>
      <c r="BV65" s="57"/>
      <c r="BW65" s="57">
        <f>R65+BF65+BS65+BT65+BU65+BV65</f>
        <v>0</v>
      </c>
      <c r="BX65" s="1090"/>
      <c r="BY65" s="1090"/>
      <c r="BZ65" s="1090"/>
      <c r="CA65" s="1090"/>
      <c r="CB65" s="1090"/>
      <c r="CC65" s="1090"/>
      <c r="CD65" s="1090"/>
      <c r="CE65" s="1090">
        <f t="shared" si="32"/>
        <v>0</v>
      </c>
      <c r="CF65" s="314"/>
      <c r="CG65" s="315"/>
      <c r="CH65" s="57">
        <f t="shared" si="37"/>
        <v>0</v>
      </c>
      <c r="CI65" s="57">
        <f>BW65+CE65+CF65+CG65+CH65</f>
        <v>0</v>
      </c>
      <c r="CK65" s="315"/>
      <c r="CL65" s="315"/>
      <c r="CM65" s="315"/>
      <c r="CN65" s="315"/>
      <c r="CO65" s="315"/>
      <c r="CP65" s="315"/>
      <c r="CQ65" s="315"/>
      <c r="CR65" s="1088"/>
      <c r="CS65" s="1088"/>
      <c r="CT65" s="1088"/>
      <c r="CU65" s="1088"/>
      <c r="CV65" s="1085"/>
      <c r="CW65" s="91"/>
      <c r="CX65" s="779"/>
    </row>
    <row r="66" spans="1:102" s="55" customFormat="1" ht="12">
      <c r="A66" s="50">
        <v>77</v>
      </c>
      <c r="B66" s="47" t="s">
        <v>60</v>
      </c>
      <c r="C66" s="99" t="s">
        <v>61</v>
      </c>
      <c r="I66" s="314"/>
      <c r="J66" s="314"/>
      <c r="K66" s="227">
        <f t="shared" si="34"/>
        <v>0</v>
      </c>
      <c r="L66" s="314"/>
      <c r="M66" s="314"/>
      <c r="N66" s="227">
        <f t="shared" si="35"/>
        <v>0</v>
      </c>
      <c r="O66" s="314"/>
      <c r="P66" s="314"/>
      <c r="Q66" s="314"/>
      <c r="R66" s="226">
        <f t="shared" si="29"/>
        <v>0</v>
      </c>
      <c r="S66" s="315"/>
      <c r="T66" s="315"/>
      <c r="U66" s="315"/>
      <c r="V66" s="315"/>
      <c r="W66" s="315"/>
      <c r="X66" s="315"/>
      <c r="Y66" s="315"/>
      <c r="Z66" s="315"/>
      <c r="AA66" s="315"/>
      <c r="AB66" s="315"/>
      <c r="AC66" s="315"/>
      <c r="AD66" s="315"/>
      <c r="AE66" s="315"/>
      <c r="AF66" s="315"/>
      <c r="AG66" s="315"/>
      <c r="AH66" s="315"/>
      <c r="AI66" s="315"/>
      <c r="AJ66" s="315"/>
      <c r="AK66" s="315"/>
      <c r="AL66" s="315"/>
      <c r="AM66" s="315"/>
      <c r="AN66" s="315"/>
      <c r="AO66" s="315"/>
      <c r="AP66" s="315"/>
      <c r="AQ66" s="315"/>
      <c r="AR66" s="315"/>
      <c r="AS66" s="315"/>
      <c r="AT66" s="315"/>
      <c r="AU66" s="315"/>
      <c r="AV66" s="315"/>
      <c r="AW66" s="315"/>
      <c r="AX66" s="315"/>
      <c r="AY66" s="315"/>
      <c r="AZ66" s="315"/>
      <c r="BA66" s="315"/>
      <c r="BB66" s="315"/>
      <c r="BC66" s="315"/>
      <c r="BD66" s="315"/>
      <c r="BE66" s="315"/>
      <c r="BF66" s="57">
        <f t="shared" si="36"/>
        <v>0</v>
      </c>
      <c r="BG66" s="315"/>
      <c r="BH66" s="315"/>
      <c r="BI66" s="315"/>
      <c r="BJ66" s="315"/>
      <c r="BK66" s="315"/>
      <c r="BL66" s="315"/>
      <c r="BM66" s="315"/>
      <c r="BN66" s="315"/>
      <c r="BO66" s="315"/>
      <c r="BP66" s="315"/>
      <c r="BQ66" s="315"/>
      <c r="BR66" s="315"/>
      <c r="BS66" s="57">
        <f t="shared" si="30"/>
        <v>0</v>
      </c>
      <c r="BT66" s="315"/>
      <c r="BU66" s="315"/>
      <c r="BV66" s="315"/>
      <c r="BW66" s="57">
        <f t="shared" si="31"/>
        <v>0</v>
      </c>
      <c r="BX66" s="315"/>
      <c r="BY66" s="315"/>
      <c r="BZ66" s="315"/>
      <c r="CA66" s="315"/>
      <c r="CB66" s="315"/>
      <c r="CC66" s="315"/>
      <c r="CD66" s="315"/>
      <c r="CE66" s="1090">
        <f t="shared" si="32"/>
        <v>0</v>
      </c>
      <c r="CF66" s="315"/>
      <c r="CG66" s="315"/>
      <c r="CH66" s="57">
        <f>SUM(CK66:CV66)</f>
        <v>0</v>
      </c>
      <c r="CI66" s="57">
        <f t="shared" si="33"/>
        <v>0</v>
      </c>
      <c r="CK66" s="315"/>
      <c r="CL66" s="315"/>
      <c r="CM66" s="315"/>
      <c r="CN66" s="315"/>
      <c r="CO66" s="315"/>
      <c r="CP66" s="315"/>
      <c r="CQ66" s="315"/>
      <c r="CR66" s="1088"/>
      <c r="CS66" s="1088"/>
      <c r="CT66" s="1088"/>
      <c r="CU66" s="1088"/>
      <c r="CV66" s="1085"/>
      <c r="CW66" s="91"/>
      <c r="CX66" s="779"/>
    </row>
    <row r="67" spans="1:102" s="1144" customFormat="1" ht="12">
      <c r="A67" s="1136"/>
      <c r="B67" s="1137" t="s">
        <v>91</v>
      </c>
      <c r="C67" s="1138" t="s">
        <v>61</v>
      </c>
      <c r="I67" s="1090"/>
      <c r="J67" s="1090"/>
      <c r="K67" s="1139"/>
      <c r="L67" s="1090"/>
      <c r="M67" s="1090"/>
      <c r="N67" s="1139"/>
      <c r="O67" s="1090"/>
      <c r="P67" s="1090"/>
      <c r="Q67" s="1090"/>
      <c r="R67" s="1090">
        <f>SUM(I67:Q67)</f>
        <v>0</v>
      </c>
      <c r="S67" s="1090"/>
      <c r="T67" s="1090"/>
      <c r="U67" s="1090"/>
      <c r="V67" s="1090"/>
      <c r="W67" s="1090"/>
      <c r="X67" s="1090"/>
      <c r="Y67" s="1090"/>
      <c r="Z67" s="1090"/>
      <c r="AA67" s="1090"/>
      <c r="AB67" s="1090"/>
      <c r="AC67" s="1090"/>
      <c r="AD67" s="1090"/>
      <c r="AE67" s="1090"/>
      <c r="AF67" s="1090"/>
      <c r="AG67" s="1090"/>
      <c r="AH67" s="1090"/>
      <c r="AI67" s="1090"/>
      <c r="AJ67" s="1090"/>
      <c r="AK67" s="1090"/>
      <c r="AL67" s="1090"/>
      <c r="AM67" s="1090"/>
      <c r="AN67" s="1090"/>
      <c r="AO67" s="1090"/>
      <c r="AP67" s="1090"/>
      <c r="AQ67" s="1090"/>
      <c r="AR67" s="1090"/>
      <c r="AS67" s="1090"/>
      <c r="AT67" s="1090"/>
      <c r="AU67" s="1090"/>
      <c r="AV67" s="1090"/>
      <c r="AW67" s="1090"/>
      <c r="AX67" s="1090"/>
      <c r="AY67" s="1090"/>
      <c r="AZ67" s="1090"/>
      <c r="BA67" s="1090"/>
      <c r="BB67" s="1090"/>
      <c r="BC67" s="1090"/>
      <c r="BD67" s="1090"/>
      <c r="BE67" s="1090"/>
      <c r="BF67" s="1090">
        <f t="shared" ref="BF67:BF73" si="40">SUM(S67:BE67)</f>
        <v>0</v>
      </c>
      <c r="BG67" s="1090"/>
      <c r="BH67" s="1090"/>
      <c r="BI67" s="1090"/>
      <c r="BJ67" s="1090"/>
      <c r="BK67" s="1090"/>
      <c r="BL67" s="1090"/>
      <c r="BM67" s="1090"/>
      <c r="BN67" s="1090"/>
      <c r="BO67" s="1090"/>
      <c r="BP67" s="1090"/>
      <c r="BQ67" s="1090"/>
      <c r="BR67" s="1090"/>
      <c r="BS67" s="1090">
        <f t="shared" si="30"/>
        <v>0</v>
      </c>
      <c r="BT67" s="1090"/>
      <c r="BU67" s="1090"/>
      <c r="BV67" s="1090"/>
      <c r="BW67" s="1090">
        <f>R67+BF67+BS67+BT67+BU67+BV67</f>
        <v>0</v>
      </c>
      <c r="BX67" s="1090"/>
      <c r="BY67" s="1090"/>
      <c r="BZ67" s="1090"/>
      <c r="CA67" s="1090"/>
      <c r="CB67" s="1090"/>
      <c r="CC67" s="1090"/>
      <c r="CD67" s="1090"/>
      <c r="CE67" s="1090">
        <f t="shared" si="32"/>
        <v>0</v>
      </c>
      <c r="CF67" s="314"/>
      <c r="CG67" s="315"/>
      <c r="CH67" s="1090">
        <f>SUM(CK67:CV67)</f>
        <v>0</v>
      </c>
      <c r="CI67" s="1090">
        <f t="shared" si="33"/>
        <v>0</v>
      </c>
      <c r="CK67" s="1090"/>
      <c r="CL67" s="1090"/>
      <c r="CM67" s="1090"/>
      <c r="CN67" s="1090"/>
      <c r="CO67" s="1090"/>
      <c r="CP67" s="1090"/>
      <c r="CQ67" s="1090"/>
      <c r="CR67" s="1141"/>
      <c r="CS67" s="1141"/>
      <c r="CT67" s="1141"/>
      <c r="CU67" s="1141"/>
      <c r="CV67" s="1142"/>
      <c r="CW67" s="1142"/>
      <c r="CX67" s="1143"/>
    </row>
    <row r="68" spans="1:102" s="1149" customFormat="1">
      <c r="A68" s="1145" t="s">
        <v>598</v>
      </c>
      <c r="B68" s="1146"/>
      <c r="C68" s="1147"/>
      <c r="I68" s="1093">
        <f t="shared" ref="I68:O68" si="41">SUM(I42:I67)</f>
        <v>0</v>
      </c>
      <c r="J68" s="1093">
        <f t="shared" si="41"/>
        <v>0</v>
      </c>
      <c r="K68" s="1148">
        <f t="shared" si="34"/>
        <v>0</v>
      </c>
      <c r="L68" s="1093">
        <f t="shared" si="41"/>
        <v>0</v>
      </c>
      <c r="M68" s="1093">
        <f t="shared" si="41"/>
        <v>0</v>
      </c>
      <c r="N68" s="1148">
        <f t="shared" si="35"/>
        <v>0</v>
      </c>
      <c r="O68" s="1093">
        <f t="shared" si="41"/>
        <v>0</v>
      </c>
      <c r="P68" s="1093">
        <f>SUM(P42:P67)</f>
        <v>0</v>
      </c>
      <c r="Q68" s="1093">
        <f>SUM(Q42:Q67)</f>
        <v>0</v>
      </c>
      <c r="R68" s="1093">
        <f>SUM(R42:R67)</f>
        <v>0</v>
      </c>
      <c r="S68" s="1093">
        <f t="shared" ref="S68:BE68" si="42">SUM(S42:S67)</f>
        <v>0</v>
      </c>
      <c r="T68" s="1093">
        <f t="shared" si="42"/>
        <v>0</v>
      </c>
      <c r="U68" s="1093">
        <f t="shared" si="42"/>
        <v>0</v>
      </c>
      <c r="V68" s="1093">
        <f t="shared" si="42"/>
        <v>0</v>
      </c>
      <c r="W68" s="1093">
        <f t="shared" si="42"/>
        <v>0</v>
      </c>
      <c r="X68" s="1093">
        <f t="shared" si="42"/>
        <v>0</v>
      </c>
      <c r="Y68" s="1093">
        <f t="shared" si="42"/>
        <v>0</v>
      </c>
      <c r="Z68" s="1093">
        <f t="shared" si="42"/>
        <v>0</v>
      </c>
      <c r="AA68" s="1093">
        <f t="shared" si="42"/>
        <v>0</v>
      </c>
      <c r="AB68" s="1093">
        <f t="shared" si="42"/>
        <v>0</v>
      </c>
      <c r="AC68" s="1093">
        <f t="shared" si="42"/>
        <v>0</v>
      </c>
      <c r="AD68" s="1093">
        <f t="shared" si="42"/>
        <v>0</v>
      </c>
      <c r="AE68" s="1093">
        <f t="shared" si="42"/>
        <v>0</v>
      </c>
      <c r="AF68" s="1093">
        <f t="shared" si="42"/>
        <v>0</v>
      </c>
      <c r="AG68" s="1093">
        <f t="shared" si="42"/>
        <v>0</v>
      </c>
      <c r="AH68" s="1093">
        <f t="shared" si="42"/>
        <v>0</v>
      </c>
      <c r="AI68" s="1093">
        <f t="shared" si="42"/>
        <v>0</v>
      </c>
      <c r="AJ68" s="1093">
        <f t="shared" si="42"/>
        <v>0</v>
      </c>
      <c r="AK68" s="1093">
        <f t="shared" si="42"/>
        <v>0</v>
      </c>
      <c r="AL68" s="1093">
        <f t="shared" si="42"/>
        <v>0</v>
      </c>
      <c r="AM68" s="1093">
        <f t="shared" si="42"/>
        <v>0</v>
      </c>
      <c r="AN68" s="1093">
        <f t="shared" si="42"/>
        <v>0</v>
      </c>
      <c r="AO68" s="1093">
        <f t="shared" si="42"/>
        <v>0</v>
      </c>
      <c r="AP68" s="1093">
        <f>SUM(AP42:AP67)</f>
        <v>0</v>
      </c>
      <c r="AQ68" s="1093">
        <f t="shared" ref="AQ68:AT68" si="43">SUM(AQ42:AQ67)</f>
        <v>0</v>
      </c>
      <c r="AR68" s="1093">
        <f t="shared" si="43"/>
        <v>0</v>
      </c>
      <c r="AS68" s="1093">
        <f t="shared" si="43"/>
        <v>0</v>
      </c>
      <c r="AT68" s="1093">
        <f t="shared" si="43"/>
        <v>0</v>
      </c>
      <c r="AU68" s="1093">
        <f t="shared" ref="AU68:BB68" si="44">SUM(AU42:AU67)</f>
        <v>0</v>
      </c>
      <c r="AV68" s="1093">
        <f t="shared" si="44"/>
        <v>0</v>
      </c>
      <c r="AW68" s="1093">
        <f t="shared" si="44"/>
        <v>0</v>
      </c>
      <c r="AX68" s="1093">
        <f t="shared" si="44"/>
        <v>0</v>
      </c>
      <c r="AY68" s="1093">
        <f t="shared" si="44"/>
        <v>0</v>
      </c>
      <c r="AZ68" s="1093">
        <f t="shared" si="44"/>
        <v>0</v>
      </c>
      <c r="BA68" s="1093">
        <f t="shared" si="44"/>
        <v>0</v>
      </c>
      <c r="BB68" s="1093">
        <f t="shared" si="44"/>
        <v>0</v>
      </c>
      <c r="BC68" s="1093">
        <f>SUM(BC42:BC67)</f>
        <v>0</v>
      </c>
      <c r="BD68" s="1093">
        <f t="shared" si="42"/>
        <v>0</v>
      </c>
      <c r="BE68" s="1093">
        <f t="shared" si="42"/>
        <v>0</v>
      </c>
      <c r="BF68" s="1093">
        <f>SUM(S68:BE68)</f>
        <v>0</v>
      </c>
      <c r="BG68" s="1093">
        <f t="shared" ref="BG68:BR68" si="45">SUM(BG42:BG67)</f>
        <v>0</v>
      </c>
      <c r="BH68" s="1093">
        <f t="shared" si="45"/>
        <v>0</v>
      </c>
      <c r="BI68" s="1093">
        <f t="shared" si="45"/>
        <v>0</v>
      </c>
      <c r="BJ68" s="1093">
        <f t="shared" si="45"/>
        <v>0</v>
      </c>
      <c r="BK68" s="1093">
        <f t="shared" si="45"/>
        <v>0</v>
      </c>
      <c r="BL68" s="1093">
        <f t="shared" si="45"/>
        <v>0</v>
      </c>
      <c r="BM68" s="1093">
        <f t="shared" si="45"/>
        <v>0</v>
      </c>
      <c r="BN68" s="1093">
        <f t="shared" si="45"/>
        <v>0</v>
      </c>
      <c r="BO68" s="1093">
        <f t="shared" si="45"/>
        <v>0</v>
      </c>
      <c r="BP68" s="1093">
        <f t="shared" si="45"/>
        <v>0</v>
      </c>
      <c r="BQ68" s="1093">
        <f t="shared" si="45"/>
        <v>0</v>
      </c>
      <c r="BR68" s="1093">
        <f t="shared" si="45"/>
        <v>0</v>
      </c>
      <c r="BS68" s="1093">
        <f>SUM(BG68:BR68)</f>
        <v>0</v>
      </c>
      <c r="BT68" s="1093">
        <f>SUM(BT42:BT67)</f>
        <v>0</v>
      </c>
      <c r="BU68" s="1093">
        <f t="shared" ref="BU68:CV68" si="46">SUM(BU42:BU67)</f>
        <v>0</v>
      </c>
      <c r="BV68" s="1093">
        <f t="shared" si="46"/>
        <v>0</v>
      </c>
      <c r="BW68" s="1093">
        <f t="shared" si="31"/>
        <v>0</v>
      </c>
      <c r="BX68" s="1093">
        <f t="shared" ref="BX68:CD68" si="47">SUM(BX42:BX67)</f>
        <v>0</v>
      </c>
      <c r="BY68" s="1093">
        <f t="shared" si="47"/>
        <v>0</v>
      </c>
      <c r="BZ68" s="1093">
        <f t="shared" si="47"/>
        <v>0</v>
      </c>
      <c r="CA68" s="1093">
        <f t="shared" si="47"/>
        <v>0</v>
      </c>
      <c r="CB68" s="1093">
        <f t="shared" si="47"/>
        <v>0</v>
      </c>
      <c r="CC68" s="1093">
        <f t="shared" si="47"/>
        <v>0</v>
      </c>
      <c r="CD68" s="1093">
        <f t="shared" si="47"/>
        <v>0</v>
      </c>
      <c r="CE68" s="1093">
        <f t="shared" si="32"/>
        <v>0</v>
      </c>
      <c r="CF68" s="1093">
        <f t="shared" si="46"/>
        <v>0</v>
      </c>
      <c r="CG68" s="1093">
        <f t="shared" si="46"/>
        <v>0</v>
      </c>
      <c r="CH68" s="1093">
        <f>SUM(CH42:CH67)</f>
        <v>0</v>
      </c>
      <c r="CI68" s="1093">
        <f>SUM(CI42:CI67)</f>
        <v>0</v>
      </c>
      <c r="CK68" s="1093">
        <f t="shared" si="46"/>
        <v>0</v>
      </c>
      <c r="CL68" s="1093">
        <f t="shared" si="46"/>
        <v>0</v>
      </c>
      <c r="CM68" s="1093">
        <f t="shared" si="46"/>
        <v>0</v>
      </c>
      <c r="CN68" s="1093">
        <f t="shared" si="46"/>
        <v>0</v>
      </c>
      <c r="CO68" s="1093">
        <f t="shared" si="46"/>
        <v>0</v>
      </c>
      <c r="CP68" s="1093">
        <f t="shared" si="46"/>
        <v>0</v>
      </c>
      <c r="CQ68" s="1093">
        <f t="shared" si="46"/>
        <v>0</v>
      </c>
      <c r="CR68" s="1095">
        <f t="shared" si="46"/>
        <v>0</v>
      </c>
      <c r="CS68" s="1095">
        <f t="shared" si="46"/>
        <v>0</v>
      </c>
      <c r="CT68" s="1095">
        <f t="shared" si="46"/>
        <v>0</v>
      </c>
      <c r="CU68" s="1095">
        <f t="shared" si="46"/>
        <v>0</v>
      </c>
      <c r="CV68" s="1095">
        <f t="shared" si="46"/>
        <v>0</v>
      </c>
      <c r="CW68" s="1096">
        <f>SUM(CK68:CU68)</f>
        <v>0</v>
      </c>
      <c r="CX68" s="1097"/>
    </row>
    <row r="69" spans="1:102" s="55" customFormat="1">
      <c r="A69" s="52" t="s">
        <v>1355</v>
      </c>
      <c r="B69" s="46"/>
      <c r="C69" s="1075" t="s">
        <v>1354</v>
      </c>
      <c r="I69" s="314"/>
      <c r="J69" s="314"/>
      <c r="K69" s="227">
        <f t="shared" si="34"/>
        <v>0</v>
      </c>
      <c r="L69" s="314"/>
      <c r="M69" s="314"/>
      <c r="N69" s="227">
        <f t="shared" si="35"/>
        <v>0</v>
      </c>
      <c r="O69" s="314"/>
      <c r="P69" s="314"/>
      <c r="Q69" s="314"/>
      <c r="R69" s="226">
        <f>K69+N69+SUM(O69:Q69)</f>
        <v>0</v>
      </c>
      <c r="S69" s="314"/>
      <c r="T69" s="314"/>
      <c r="U69" s="314"/>
      <c r="V69" s="314"/>
      <c r="W69" s="314"/>
      <c r="X69" s="314"/>
      <c r="Y69" s="314"/>
      <c r="Z69" s="314"/>
      <c r="AA69" s="314"/>
      <c r="AB69" s="314"/>
      <c r="AC69" s="314"/>
      <c r="AD69" s="314"/>
      <c r="AE69" s="314"/>
      <c r="AF69" s="314"/>
      <c r="AG69" s="314"/>
      <c r="AH69" s="314"/>
      <c r="AI69" s="314"/>
      <c r="AJ69" s="314"/>
      <c r="AK69" s="314"/>
      <c r="AL69" s="314"/>
      <c r="AM69" s="314"/>
      <c r="AN69" s="314"/>
      <c r="AO69" s="314"/>
      <c r="AP69" s="314"/>
      <c r="AQ69" s="314"/>
      <c r="AR69" s="314"/>
      <c r="AS69" s="314"/>
      <c r="AT69" s="314"/>
      <c r="AU69" s="314"/>
      <c r="AV69" s="314"/>
      <c r="AW69" s="314"/>
      <c r="AX69" s="314"/>
      <c r="AY69" s="314"/>
      <c r="AZ69" s="314"/>
      <c r="BA69" s="314"/>
      <c r="BB69" s="314"/>
      <c r="BC69" s="314"/>
      <c r="BD69" s="314"/>
      <c r="BE69" s="314"/>
      <c r="BF69" s="57">
        <f t="shared" si="40"/>
        <v>0</v>
      </c>
      <c r="BG69" s="314"/>
      <c r="BH69" s="314"/>
      <c r="BI69" s="314"/>
      <c r="BJ69" s="314"/>
      <c r="BK69" s="314"/>
      <c r="BL69" s="314"/>
      <c r="BM69" s="314"/>
      <c r="BN69" s="314"/>
      <c r="BO69" s="314"/>
      <c r="BP69" s="314"/>
      <c r="BQ69" s="314"/>
      <c r="BR69" s="314"/>
      <c r="BS69" s="57">
        <f t="shared" si="30"/>
        <v>0</v>
      </c>
      <c r="BT69" s="314"/>
      <c r="BU69" s="314"/>
      <c r="BV69" s="314"/>
      <c r="BW69" s="57">
        <f t="shared" si="31"/>
        <v>0</v>
      </c>
      <c r="BX69" s="314"/>
      <c r="BY69" s="314"/>
      <c r="BZ69" s="314"/>
      <c r="CA69" s="314"/>
      <c r="CB69" s="314"/>
      <c r="CC69" s="314"/>
      <c r="CD69" s="314"/>
      <c r="CE69" s="1090">
        <f t="shared" si="32"/>
        <v>0</v>
      </c>
      <c r="CF69" s="314"/>
      <c r="CG69" s="314"/>
      <c r="CH69" s="57">
        <f>SUM(CK69:CV69)</f>
        <v>0</v>
      </c>
      <c r="CI69" s="57">
        <f>BW69+CE69+CF69+CG69+CH69</f>
        <v>0</v>
      </c>
      <c r="CK69" s="314"/>
      <c r="CL69" s="314"/>
      <c r="CM69" s="314"/>
      <c r="CN69" s="314"/>
      <c r="CO69" s="314"/>
      <c r="CP69" s="314"/>
      <c r="CQ69" s="314"/>
      <c r="CR69" s="1087"/>
      <c r="CS69" s="1087"/>
      <c r="CT69" s="1087"/>
      <c r="CU69" s="1087"/>
      <c r="CV69" s="1083"/>
      <c r="CW69" s="680">
        <f>SUM(CK69:CU69)</f>
        <v>0</v>
      </c>
      <c r="CX69" s="772"/>
    </row>
    <row r="70" spans="1:102" s="1144" customFormat="1" ht="12">
      <c r="A70" s="1150" t="s">
        <v>142</v>
      </c>
      <c r="B70" s="1151"/>
      <c r="C70" s="1152"/>
      <c r="I70" s="1090">
        <f t="shared" ref="I70:BE70" si="48">+I69+I68</f>
        <v>0</v>
      </c>
      <c r="J70" s="1090">
        <f t="shared" si="48"/>
        <v>0</v>
      </c>
      <c r="K70" s="1139">
        <f t="shared" si="34"/>
        <v>0</v>
      </c>
      <c r="L70" s="1090">
        <f t="shared" si="48"/>
        <v>0</v>
      </c>
      <c r="M70" s="1090">
        <f t="shared" si="48"/>
        <v>0</v>
      </c>
      <c r="N70" s="1139">
        <f t="shared" si="35"/>
        <v>0</v>
      </c>
      <c r="O70" s="1090">
        <f t="shared" si="48"/>
        <v>0</v>
      </c>
      <c r="P70" s="1090">
        <f>+P69+P68</f>
        <v>0</v>
      </c>
      <c r="Q70" s="1090">
        <f>+Q69+Q68</f>
        <v>0</v>
      </c>
      <c r="R70" s="1153">
        <f>K70+N70+SUM(O70:Q70)</f>
        <v>0</v>
      </c>
      <c r="S70" s="1090">
        <f t="shared" si="48"/>
        <v>0</v>
      </c>
      <c r="T70" s="1090">
        <f t="shared" si="48"/>
        <v>0</v>
      </c>
      <c r="U70" s="1090">
        <f t="shared" si="48"/>
        <v>0</v>
      </c>
      <c r="V70" s="1090">
        <f t="shared" si="48"/>
        <v>0</v>
      </c>
      <c r="W70" s="1090">
        <f t="shared" si="48"/>
        <v>0</v>
      </c>
      <c r="X70" s="1090">
        <f t="shared" si="48"/>
        <v>0</v>
      </c>
      <c r="Y70" s="1090">
        <f t="shared" si="48"/>
        <v>0</v>
      </c>
      <c r="Z70" s="1090">
        <f t="shared" si="48"/>
        <v>0</v>
      </c>
      <c r="AA70" s="1090">
        <f t="shared" si="48"/>
        <v>0</v>
      </c>
      <c r="AB70" s="1090">
        <f t="shared" si="48"/>
        <v>0</v>
      </c>
      <c r="AC70" s="1090">
        <f t="shared" si="48"/>
        <v>0</v>
      </c>
      <c r="AD70" s="1090">
        <f t="shared" si="48"/>
        <v>0</v>
      </c>
      <c r="AE70" s="1090">
        <f t="shared" si="48"/>
        <v>0</v>
      </c>
      <c r="AF70" s="1090">
        <f t="shared" si="48"/>
        <v>0</v>
      </c>
      <c r="AG70" s="1090">
        <f t="shared" si="48"/>
        <v>0</v>
      </c>
      <c r="AH70" s="1090">
        <f t="shared" si="48"/>
        <v>0</v>
      </c>
      <c r="AI70" s="1090">
        <f t="shared" si="48"/>
        <v>0</v>
      </c>
      <c r="AJ70" s="1090">
        <f t="shared" si="48"/>
        <v>0</v>
      </c>
      <c r="AK70" s="1090">
        <f t="shared" si="48"/>
        <v>0</v>
      </c>
      <c r="AL70" s="1090">
        <f t="shared" si="48"/>
        <v>0</v>
      </c>
      <c r="AM70" s="1090">
        <f t="shared" si="48"/>
        <v>0</v>
      </c>
      <c r="AN70" s="1090">
        <f t="shared" si="48"/>
        <v>0</v>
      </c>
      <c r="AO70" s="1090">
        <f t="shared" si="48"/>
        <v>0</v>
      </c>
      <c r="AP70" s="1090">
        <f>+AP69+AP68</f>
        <v>0</v>
      </c>
      <c r="AQ70" s="1090">
        <f t="shared" ref="AQ70:AT70" si="49">+AQ69+AQ68</f>
        <v>0</v>
      </c>
      <c r="AR70" s="1090">
        <f t="shared" si="49"/>
        <v>0</v>
      </c>
      <c r="AS70" s="1090">
        <f t="shared" si="49"/>
        <v>0</v>
      </c>
      <c r="AT70" s="1090">
        <f t="shared" si="49"/>
        <v>0</v>
      </c>
      <c r="AU70" s="1090">
        <f t="shared" ref="AU70:BB70" si="50">+AU69+AU68</f>
        <v>0</v>
      </c>
      <c r="AV70" s="1090">
        <f t="shared" si="50"/>
        <v>0</v>
      </c>
      <c r="AW70" s="1090">
        <f t="shared" si="50"/>
        <v>0</v>
      </c>
      <c r="AX70" s="1090">
        <f t="shared" si="50"/>
        <v>0</v>
      </c>
      <c r="AY70" s="1090">
        <f t="shared" si="50"/>
        <v>0</v>
      </c>
      <c r="AZ70" s="1090">
        <f t="shared" si="50"/>
        <v>0</v>
      </c>
      <c r="BA70" s="1090">
        <f t="shared" si="50"/>
        <v>0</v>
      </c>
      <c r="BB70" s="1090">
        <f t="shared" si="50"/>
        <v>0</v>
      </c>
      <c r="BC70" s="1090">
        <f>+BC69+BC68</f>
        <v>0</v>
      </c>
      <c r="BD70" s="1090">
        <f t="shared" si="48"/>
        <v>0</v>
      </c>
      <c r="BE70" s="1090">
        <f t="shared" si="48"/>
        <v>0</v>
      </c>
      <c r="BF70" s="1090">
        <f t="shared" si="40"/>
        <v>0</v>
      </c>
      <c r="BG70" s="1090">
        <f t="shared" ref="BG70:BR70" si="51">+BG69+BG68</f>
        <v>0</v>
      </c>
      <c r="BH70" s="1090">
        <f t="shared" si="51"/>
        <v>0</v>
      </c>
      <c r="BI70" s="1090">
        <f t="shared" si="51"/>
        <v>0</v>
      </c>
      <c r="BJ70" s="1090">
        <f t="shared" si="51"/>
        <v>0</v>
      </c>
      <c r="BK70" s="1090">
        <f t="shared" si="51"/>
        <v>0</v>
      </c>
      <c r="BL70" s="1090">
        <f t="shared" si="51"/>
        <v>0</v>
      </c>
      <c r="BM70" s="1090">
        <f t="shared" si="51"/>
        <v>0</v>
      </c>
      <c r="BN70" s="1090">
        <f t="shared" si="51"/>
        <v>0</v>
      </c>
      <c r="BO70" s="1090">
        <f t="shared" si="51"/>
        <v>0</v>
      </c>
      <c r="BP70" s="1090">
        <f t="shared" si="51"/>
        <v>0</v>
      </c>
      <c r="BQ70" s="1090">
        <f t="shared" si="51"/>
        <v>0</v>
      </c>
      <c r="BR70" s="1090">
        <f t="shared" si="51"/>
        <v>0</v>
      </c>
      <c r="BS70" s="1090">
        <f>SUM(BG70:BR70)</f>
        <v>0</v>
      </c>
      <c r="BT70" s="1090">
        <f>+BT69+BT68</f>
        <v>0</v>
      </c>
      <c r="BU70" s="1090">
        <f t="shared" ref="BU70:CV70" si="52">+BU69+BU68</f>
        <v>0</v>
      </c>
      <c r="BV70" s="1090">
        <f t="shared" si="52"/>
        <v>0</v>
      </c>
      <c r="BW70" s="1090">
        <f t="shared" si="31"/>
        <v>0</v>
      </c>
      <c r="BX70" s="1090">
        <f t="shared" ref="BX70:CD70" si="53">+BX69+BX68</f>
        <v>0</v>
      </c>
      <c r="BY70" s="1090">
        <f t="shared" si="53"/>
        <v>0</v>
      </c>
      <c r="BZ70" s="1090">
        <f t="shared" si="53"/>
        <v>0</v>
      </c>
      <c r="CA70" s="1090">
        <f t="shared" si="53"/>
        <v>0</v>
      </c>
      <c r="CB70" s="1090">
        <f t="shared" si="53"/>
        <v>0</v>
      </c>
      <c r="CC70" s="1090">
        <f t="shared" si="53"/>
        <v>0</v>
      </c>
      <c r="CD70" s="1090">
        <f t="shared" si="53"/>
        <v>0</v>
      </c>
      <c r="CE70" s="1090">
        <f t="shared" si="32"/>
        <v>0</v>
      </c>
      <c r="CF70" s="1090">
        <f t="shared" si="52"/>
        <v>0</v>
      </c>
      <c r="CG70" s="1090">
        <f t="shared" si="52"/>
        <v>0</v>
      </c>
      <c r="CH70" s="1090">
        <f>+CH69+CH68</f>
        <v>0</v>
      </c>
      <c r="CI70" s="1090">
        <f>BW70+CE70+CF70+CG70+CH70</f>
        <v>0</v>
      </c>
      <c r="CK70" s="1090">
        <f t="shared" si="52"/>
        <v>0</v>
      </c>
      <c r="CL70" s="1090">
        <f t="shared" si="52"/>
        <v>0</v>
      </c>
      <c r="CM70" s="1090">
        <f t="shared" si="52"/>
        <v>0</v>
      </c>
      <c r="CN70" s="1090">
        <f t="shared" si="52"/>
        <v>0</v>
      </c>
      <c r="CO70" s="1090">
        <f t="shared" si="52"/>
        <v>0</v>
      </c>
      <c r="CP70" s="1090">
        <f t="shared" si="52"/>
        <v>0</v>
      </c>
      <c r="CQ70" s="1090">
        <f t="shared" si="52"/>
        <v>0</v>
      </c>
      <c r="CR70" s="1090">
        <f t="shared" si="52"/>
        <v>0</v>
      </c>
      <c r="CS70" s="1090">
        <f t="shared" si="52"/>
        <v>0</v>
      </c>
      <c r="CT70" s="1090">
        <f t="shared" si="52"/>
        <v>0</v>
      </c>
      <c r="CU70" s="1090">
        <f t="shared" si="52"/>
        <v>0</v>
      </c>
      <c r="CV70" s="1090">
        <f t="shared" si="52"/>
        <v>0</v>
      </c>
      <c r="CW70" s="1154"/>
      <c r="CX70" s="1155">
        <f>CI70-'ITAR_K Gesamtansicht'!CI18+'ITAR_K Gesamtansicht'!F18</f>
        <v>0</v>
      </c>
    </row>
    <row r="71" spans="1:102" s="1159" customFormat="1">
      <c r="A71" s="1156" t="s">
        <v>43</v>
      </c>
      <c r="B71" s="1157"/>
      <c r="C71" s="1158"/>
      <c r="I71" s="1093">
        <f t="shared" ref="I71:O71" si="54">+I68+I38+I69</f>
        <v>0</v>
      </c>
      <c r="J71" s="1093">
        <f t="shared" si="54"/>
        <v>0</v>
      </c>
      <c r="K71" s="1148">
        <f t="shared" si="34"/>
        <v>0</v>
      </c>
      <c r="L71" s="1093">
        <f t="shared" si="54"/>
        <v>0</v>
      </c>
      <c r="M71" s="1093">
        <f t="shared" si="54"/>
        <v>0</v>
      </c>
      <c r="N71" s="1148">
        <f t="shared" si="35"/>
        <v>0</v>
      </c>
      <c r="O71" s="1093">
        <f t="shared" si="54"/>
        <v>0</v>
      </c>
      <c r="P71" s="1093">
        <f>+P68+P38+P69</f>
        <v>0</v>
      </c>
      <c r="Q71" s="1093">
        <f>+Q68+Q38+Q69</f>
        <v>0</v>
      </c>
      <c r="R71" s="1093">
        <f>+R68+R38+R69</f>
        <v>0</v>
      </c>
      <c r="S71" s="1093">
        <f>+S68+S38+S69</f>
        <v>0</v>
      </c>
      <c r="T71" s="1093">
        <f>+T68+T38+T69</f>
        <v>0</v>
      </c>
      <c r="U71" s="1093">
        <f t="shared" ref="U71:BE71" si="55">+U68+U38+U69</f>
        <v>0</v>
      </c>
      <c r="V71" s="1093">
        <f t="shared" si="55"/>
        <v>0</v>
      </c>
      <c r="W71" s="1093">
        <f t="shared" si="55"/>
        <v>0</v>
      </c>
      <c r="X71" s="1093">
        <f t="shared" si="55"/>
        <v>0</v>
      </c>
      <c r="Y71" s="1093">
        <f t="shared" si="55"/>
        <v>0</v>
      </c>
      <c r="Z71" s="1093">
        <f t="shared" si="55"/>
        <v>0</v>
      </c>
      <c r="AA71" s="1093">
        <f t="shared" si="55"/>
        <v>0</v>
      </c>
      <c r="AB71" s="1093">
        <f t="shared" si="55"/>
        <v>0</v>
      </c>
      <c r="AC71" s="1093">
        <f t="shared" si="55"/>
        <v>0</v>
      </c>
      <c r="AD71" s="1093">
        <f t="shared" si="55"/>
        <v>0</v>
      </c>
      <c r="AE71" s="1093">
        <f t="shared" si="55"/>
        <v>0</v>
      </c>
      <c r="AF71" s="1093">
        <f t="shared" si="55"/>
        <v>0</v>
      </c>
      <c r="AG71" s="1093">
        <f t="shared" si="55"/>
        <v>0</v>
      </c>
      <c r="AH71" s="1093">
        <f t="shared" si="55"/>
        <v>0</v>
      </c>
      <c r="AI71" s="1093">
        <f t="shared" si="55"/>
        <v>0</v>
      </c>
      <c r="AJ71" s="1093">
        <f t="shared" si="55"/>
        <v>0</v>
      </c>
      <c r="AK71" s="1093">
        <f t="shared" si="55"/>
        <v>0</v>
      </c>
      <c r="AL71" s="1093">
        <f t="shared" si="55"/>
        <v>0</v>
      </c>
      <c r="AM71" s="1093">
        <f t="shared" si="55"/>
        <v>0</v>
      </c>
      <c r="AN71" s="1093">
        <f t="shared" si="55"/>
        <v>0</v>
      </c>
      <c r="AO71" s="1093">
        <f t="shared" si="55"/>
        <v>0</v>
      </c>
      <c r="AP71" s="1093">
        <f t="shared" si="55"/>
        <v>0</v>
      </c>
      <c r="AQ71" s="1093">
        <f t="shared" ref="AQ71:AT71" si="56">+AQ68+AQ38+AQ69</f>
        <v>0</v>
      </c>
      <c r="AR71" s="1093">
        <f t="shared" si="56"/>
        <v>0</v>
      </c>
      <c r="AS71" s="1093">
        <f t="shared" si="56"/>
        <v>0</v>
      </c>
      <c r="AT71" s="1093">
        <f t="shared" si="56"/>
        <v>0</v>
      </c>
      <c r="AU71" s="1093">
        <f t="shared" ref="AU71:BB71" si="57">+AU68+AU38+AU69</f>
        <v>0</v>
      </c>
      <c r="AV71" s="1093">
        <f t="shared" si="57"/>
        <v>0</v>
      </c>
      <c r="AW71" s="1093">
        <f t="shared" si="57"/>
        <v>0</v>
      </c>
      <c r="AX71" s="1093">
        <f t="shared" si="57"/>
        <v>0</v>
      </c>
      <c r="AY71" s="1093">
        <f t="shared" si="57"/>
        <v>0</v>
      </c>
      <c r="AZ71" s="1093">
        <f t="shared" si="57"/>
        <v>0</v>
      </c>
      <c r="BA71" s="1093">
        <f t="shared" si="57"/>
        <v>0</v>
      </c>
      <c r="BB71" s="1093">
        <f t="shared" si="57"/>
        <v>0</v>
      </c>
      <c r="BC71" s="1093">
        <f>+BC68+BC38+BC69</f>
        <v>0</v>
      </c>
      <c r="BD71" s="1093">
        <f t="shared" si="55"/>
        <v>0</v>
      </c>
      <c r="BE71" s="1093">
        <f t="shared" si="55"/>
        <v>0</v>
      </c>
      <c r="BF71" s="1093">
        <f t="shared" si="40"/>
        <v>0</v>
      </c>
      <c r="BG71" s="1093">
        <f t="shared" ref="BG71:BR71" si="58">+BG68+BG38+BG69</f>
        <v>0</v>
      </c>
      <c r="BH71" s="1093">
        <f t="shared" si="58"/>
        <v>0</v>
      </c>
      <c r="BI71" s="1093">
        <f t="shared" si="58"/>
        <v>0</v>
      </c>
      <c r="BJ71" s="1093">
        <f t="shared" si="58"/>
        <v>0</v>
      </c>
      <c r="BK71" s="1093">
        <f t="shared" si="58"/>
        <v>0</v>
      </c>
      <c r="BL71" s="1093">
        <f t="shared" si="58"/>
        <v>0</v>
      </c>
      <c r="BM71" s="1093">
        <f t="shared" si="58"/>
        <v>0</v>
      </c>
      <c r="BN71" s="1093">
        <f t="shared" si="58"/>
        <v>0</v>
      </c>
      <c r="BO71" s="1093">
        <f t="shared" si="58"/>
        <v>0</v>
      </c>
      <c r="BP71" s="1093">
        <f t="shared" si="58"/>
        <v>0</v>
      </c>
      <c r="BQ71" s="1093">
        <f t="shared" si="58"/>
        <v>0</v>
      </c>
      <c r="BR71" s="1093">
        <f t="shared" si="58"/>
        <v>0</v>
      </c>
      <c r="BS71" s="1093">
        <f>SUM(BG71:BR71)</f>
        <v>0</v>
      </c>
      <c r="BT71" s="1093">
        <f>+BT68+BT38+BT69</f>
        <v>0</v>
      </c>
      <c r="BU71" s="1093">
        <f t="shared" ref="BU71:CV71" si="59">+BU68+BU38+BU69</f>
        <v>0</v>
      </c>
      <c r="BV71" s="1093">
        <f t="shared" si="59"/>
        <v>0</v>
      </c>
      <c r="BW71" s="1093">
        <f t="shared" si="31"/>
        <v>0</v>
      </c>
      <c r="BX71" s="1093">
        <f t="shared" ref="BX71:CD71" si="60">+BX68+BX38+BX69</f>
        <v>0</v>
      </c>
      <c r="BY71" s="1093">
        <f t="shared" si="60"/>
        <v>0</v>
      </c>
      <c r="BZ71" s="1093">
        <f t="shared" si="60"/>
        <v>0</v>
      </c>
      <c r="CA71" s="1093">
        <f t="shared" si="60"/>
        <v>0</v>
      </c>
      <c r="CB71" s="1093">
        <f t="shared" si="60"/>
        <v>0</v>
      </c>
      <c r="CC71" s="1093">
        <f t="shared" si="60"/>
        <v>0</v>
      </c>
      <c r="CD71" s="1093">
        <f t="shared" si="60"/>
        <v>0</v>
      </c>
      <c r="CE71" s="1093">
        <f t="shared" si="32"/>
        <v>0</v>
      </c>
      <c r="CF71" s="1093">
        <f t="shared" si="59"/>
        <v>0</v>
      </c>
      <c r="CG71" s="1093">
        <f t="shared" si="59"/>
        <v>0</v>
      </c>
      <c r="CH71" s="1093">
        <f>+CH68+CH38+CH69</f>
        <v>0</v>
      </c>
      <c r="CI71" s="1093">
        <f>+CI68+CI38+CI69</f>
        <v>0</v>
      </c>
      <c r="CK71" s="1093">
        <f t="shared" si="59"/>
        <v>0</v>
      </c>
      <c r="CL71" s="1093">
        <f t="shared" si="59"/>
        <v>0</v>
      </c>
      <c r="CM71" s="1093">
        <f t="shared" si="59"/>
        <v>0</v>
      </c>
      <c r="CN71" s="1093">
        <f t="shared" si="59"/>
        <v>0</v>
      </c>
      <c r="CO71" s="1093">
        <f t="shared" si="59"/>
        <v>0</v>
      </c>
      <c r="CP71" s="1093">
        <f t="shared" si="59"/>
        <v>0</v>
      </c>
      <c r="CQ71" s="1093">
        <f t="shared" si="59"/>
        <v>0</v>
      </c>
      <c r="CR71" s="1095">
        <f t="shared" si="59"/>
        <v>0</v>
      </c>
      <c r="CS71" s="1095">
        <f t="shared" si="59"/>
        <v>0</v>
      </c>
      <c r="CT71" s="1095">
        <f t="shared" si="59"/>
        <v>0</v>
      </c>
      <c r="CU71" s="1095">
        <f t="shared" si="59"/>
        <v>0</v>
      </c>
      <c r="CV71" s="1093">
        <f t="shared" si="59"/>
        <v>0</v>
      </c>
      <c r="CW71" s="1096">
        <f>SUM(CK71:CU71)</f>
        <v>0</v>
      </c>
      <c r="CX71" s="1097">
        <f>CI71-'ITAR_K Gesamtansicht'!CI19+'ITAR_K Gesamtansicht'!F19</f>
        <v>0</v>
      </c>
    </row>
    <row r="72" spans="1:102" s="1144" customFormat="1" ht="12">
      <c r="A72" s="1160" t="s">
        <v>143</v>
      </c>
      <c r="B72" s="1151"/>
      <c r="C72" s="1161"/>
      <c r="I72" s="1090">
        <f t="shared" ref="I72:BE72" si="61">+I71-I69</f>
        <v>0</v>
      </c>
      <c r="J72" s="1090">
        <f t="shared" si="61"/>
        <v>0</v>
      </c>
      <c r="K72" s="1139">
        <f t="shared" si="34"/>
        <v>0</v>
      </c>
      <c r="L72" s="1090">
        <f t="shared" si="61"/>
        <v>0</v>
      </c>
      <c r="M72" s="1090">
        <f t="shared" si="61"/>
        <v>0</v>
      </c>
      <c r="N72" s="1139">
        <f t="shared" si="35"/>
        <v>0</v>
      </c>
      <c r="O72" s="1090">
        <f t="shared" si="61"/>
        <v>0</v>
      </c>
      <c r="P72" s="1090">
        <f>+P71-P69</f>
        <v>0</v>
      </c>
      <c r="Q72" s="1090">
        <f>+Q71-Q69</f>
        <v>0</v>
      </c>
      <c r="R72" s="1153">
        <f>K72+N72+SUM(O72:Q72)</f>
        <v>0</v>
      </c>
      <c r="S72" s="1090">
        <f t="shared" si="61"/>
        <v>0</v>
      </c>
      <c r="T72" s="1090">
        <f t="shared" si="61"/>
        <v>0</v>
      </c>
      <c r="U72" s="1090">
        <f t="shared" si="61"/>
        <v>0</v>
      </c>
      <c r="V72" s="1090">
        <f t="shared" si="61"/>
        <v>0</v>
      </c>
      <c r="W72" s="1090">
        <f t="shared" si="61"/>
        <v>0</v>
      </c>
      <c r="X72" s="1090">
        <f t="shared" si="61"/>
        <v>0</v>
      </c>
      <c r="Y72" s="1090">
        <f t="shared" si="61"/>
        <v>0</v>
      </c>
      <c r="Z72" s="1090">
        <f t="shared" si="61"/>
        <v>0</v>
      </c>
      <c r="AA72" s="1090">
        <f t="shared" si="61"/>
        <v>0</v>
      </c>
      <c r="AB72" s="1090">
        <f t="shared" si="61"/>
        <v>0</v>
      </c>
      <c r="AC72" s="1090">
        <f t="shared" si="61"/>
        <v>0</v>
      </c>
      <c r="AD72" s="1090">
        <f t="shared" si="61"/>
        <v>0</v>
      </c>
      <c r="AE72" s="1090">
        <f t="shared" si="61"/>
        <v>0</v>
      </c>
      <c r="AF72" s="1090">
        <f t="shared" si="61"/>
        <v>0</v>
      </c>
      <c r="AG72" s="1090">
        <f t="shared" si="61"/>
        <v>0</v>
      </c>
      <c r="AH72" s="1090">
        <f t="shared" si="61"/>
        <v>0</v>
      </c>
      <c r="AI72" s="1090">
        <f t="shared" si="61"/>
        <v>0</v>
      </c>
      <c r="AJ72" s="1090">
        <f t="shared" si="61"/>
        <v>0</v>
      </c>
      <c r="AK72" s="1090">
        <f t="shared" si="61"/>
        <v>0</v>
      </c>
      <c r="AL72" s="1090">
        <f t="shared" si="61"/>
        <v>0</v>
      </c>
      <c r="AM72" s="1090">
        <f t="shared" si="61"/>
        <v>0</v>
      </c>
      <c r="AN72" s="1090">
        <f t="shared" si="61"/>
        <v>0</v>
      </c>
      <c r="AO72" s="1090">
        <f t="shared" si="61"/>
        <v>0</v>
      </c>
      <c r="AP72" s="1090">
        <f t="shared" si="61"/>
        <v>0</v>
      </c>
      <c r="AQ72" s="1090">
        <f t="shared" ref="AQ72:AT72" si="62">+AQ71-AQ69</f>
        <v>0</v>
      </c>
      <c r="AR72" s="1090">
        <f t="shared" si="62"/>
        <v>0</v>
      </c>
      <c r="AS72" s="1090">
        <f t="shared" si="62"/>
        <v>0</v>
      </c>
      <c r="AT72" s="1090">
        <f t="shared" si="62"/>
        <v>0</v>
      </c>
      <c r="AU72" s="1090">
        <f t="shared" ref="AU72:BB72" si="63">+AU71-AU69</f>
        <v>0</v>
      </c>
      <c r="AV72" s="1090">
        <f t="shared" si="63"/>
        <v>0</v>
      </c>
      <c r="AW72" s="1090">
        <f t="shared" si="63"/>
        <v>0</v>
      </c>
      <c r="AX72" s="1090">
        <f t="shared" si="63"/>
        <v>0</v>
      </c>
      <c r="AY72" s="1090">
        <f t="shared" si="63"/>
        <v>0</v>
      </c>
      <c r="AZ72" s="1090">
        <f t="shared" si="63"/>
        <v>0</v>
      </c>
      <c r="BA72" s="1090">
        <f t="shared" si="63"/>
        <v>0</v>
      </c>
      <c r="BB72" s="1090">
        <f t="shared" si="63"/>
        <v>0</v>
      </c>
      <c r="BC72" s="1090">
        <f>+BC71-BC69</f>
        <v>0</v>
      </c>
      <c r="BD72" s="1090">
        <f t="shared" si="61"/>
        <v>0</v>
      </c>
      <c r="BE72" s="1090">
        <f t="shared" si="61"/>
        <v>0</v>
      </c>
      <c r="BF72" s="1090">
        <f t="shared" si="40"/>
        <v>0</v>
      </c>
      <c r="BG72" s="1090">
        <f t="shared" ref="BG72:BR72" si="64">+BG71-BG69</f>
        <v>0</v>
      </c>
      <c r="BH72" s="1090">
        <f t="shared" si="64"/>
        <v>0</v>
      </c>
      <c r="BI72" s="1090">
        <f t="shared" si="64"/>
        <v>0</v>
      </c>
      <c r="BJ72" s="1090">
        <f t="shared" si="64"/>
        <v>0</v>
      </c>
      <c r="BK72" s="1090">
        <f t="shared" si="64"/>
        <v>0</v>
      </c>
      <c r="BL72" s="1090">
        <f t="shared" si="64"/>
        <v>0</v>
      </c>
      <c r="BM72" s="1090">
        <f t="shared" si="64"/>
        <v>0</v>
      </c>
      <c r="BN72" s="1090">
        <f t="shared" si="64"/>
        <v>0</v>
      </c>
      <c r="BO72" s="1090">
        <f t="shared" si="64"/>
        <v>0</v>
      </c>
      <c r="BP72" s="1090">
        <f t="shared" si="64"/>
        <v>0</v>
      </c>
      <c r="BQ72" s="1090">
        <f t="shared" si="64"/>
        <v>0</v>
      </c>
      <c r="BR72" s="1090">
        <f t="shared" si="64"/>
        <v>0</v>
      </c>
      <c r="BS72" s="1090">
        <f t="shared" si="30"/>
        <v>0</v>
      </c>
      <c r="BT72" s="1090">
        <f>+BT71-BT69</f>
        <v>0</v>
      </c>
      <c r="BU72" s="1090">
        <f t="shared" ref="BU72:CV72" si="65">+BU71-BU69</f>
        <v>0</v>
      </c>
      <c r="BV72" s="1090">
        <f t="shared" si="65"/>
        <v>0</v>
      </c>
      <c r="BW72" s="1090">
        <f t="shared" si="31"/>
        <v>0</v>
      </c>
      <c r="BX72" s="1090">
        <f t="shared" ref="BX72:CD72" si="66">+BX71-BX69</f>
        <v>0</v>
      </c>
      <c r="BY72" s="1090">
        <f t="shared" si="66"/>
        <v>0</v>
      </c>
      <c r="BZ72" s="1090">
        <f t="shared" si="66"/>
        <v>0</v>
      </c>
      <c r="CA72" s="1090">
        <f t="shared" si="66"/>
        <v>0</v>
      </c>
      <c r="CB72" s="1090">
        <f t="shared" si="66"/>
        <v>0</v>
      </c>
      <c r="CC72" s="1090">
        <f t="shared" si="66"/>
        <v>0</v>
      </c>
      <c r="CD72" s="1090">
        <f t="shared" si="66"/>
        <v>0</v>
      </c>
      <c r="CE72" s="1090">
        <f t="shared" si="32"/>
        <v>0</v>
      </c>
      <c r="CF72" s="1090">
        <f t="shared" si="65"/>
        <v>0</v>
      </c>
      <c r="CG72" s="1090">
        <f t="shared" si="65"/>
        <v>0</v>
      </c>
      <c r="CH72" s="1090">
        <f>+CH71-CH69</f>
        <v>0</v>
      </c>
      <c r="CI72" s="1090">
        <f>BW72+CE72+CF72+CG72+CH72</f>
        <v>0</v>
      </c>
      <c r="CK72" s="1090">
        <f t="shared" si="65"/>
        <v>0</v>
      </c>
      <c r="CL72" s="1090">
        <f t="shared" si="65"/>
        <v>0</v>
      </c>
      <c r="CM72" s="1090">
        <f t="shared" si="65"/>
        <v>0</v>
      </c>
      <c r="CN72" s="1090">
        <f t="shared" si="65"/>
        <v>0</v>
      </c>
      <c r="CO72" s="1090">
        <f t="shared" si="65"/>
        <v>0</v>
      </c>
      <c r="CP72" s="1090">
        <f t="shared" si="65"/>
        <v>0</v>
      </c>
      <c r="CQ72" s="1090">
        <f t="shared" si="65"/>
        <v>0</v>
      </c>
      <c r="CR72" s="1141">
        <f t="shared" si="65"/>
        <v>0</v>
      </c>
      <c r="CS72" s="1141">
        <f t="shared" si="65"/>
        <v>0</v>
      </c>
      <c r="CT72" s="1141">
        <f t="shared" si="65"/>
        <v>0</v>
      </c>
      <c r="CU72" s="1141">
        <f t="shared" si="65"/>
        <v>0</v>
      </c>
      <c r="CV72" s="1090">
        <f t="shared" si="65"/>
        <v>0</v>
      </c>
      <c r="CW72" s="1154">
        <f>SUM(CK72:CU72)</f>
        <v>0</v>
      </c>
      <c r="CX72" s="1155"/>
    </row>
    <row r="73" spans="1:102" s="1166" customFormat="1">
      <c r="A73" s="1162" t="s">
        <v>70</v>
      </c>
      <c r="B73" s="1146"/>
      <c r="C73" s="1163"/>
      <c r="I73" s="1129">
        <f>+I21-I71</f>
        <v>0</v>
      </c>
      <c r="J73" s="1129">
        <f>+J21-J71</f>
        <v>0</v>
      </c>
      <c r="K73" s="1148">
        <f t="shared" si="34"/>
        <v>0</v>
      </c>
      <c r="L73" s="1129">
        <f>+L21-L71</f>
        <v>0</v>
      </c>
      <c r="M73" s="1129">
        <f>+M21-M71</f>
        <v>0</v>
      </c>
      <c r="N73" s="1148">
        <f t="shared" si="35"/>
        <v>0</v>
      </c>
      <c r="O73" s="1129">
        <f t="shared" ref="O73:BE73" si="67">+O21-O71</f>
        <v>0</v>
      </c>
      <c r="P73" s="1129">
        <f t="shared" si="67"/>
        <v>0</v>
      </c>
      <c r="Q73" s="1129">
        <f t="shared" si="67"/>
        <v>0</v>
      </c>
      <c r="R73" s="1129">
        <f t="shared" si="67"/>
        <v>0</v>
      </c>
      <c r="S73" s="1129">
        <f t="shared" si="67"/>
        <v>0</v>
      </c>
      <c r="T73" s="1129">
        <f t="shared" si="67"/>
        <v>0</v>
      </c>
      <c r="U73" s="1129">
        <f t="shared" si="67"/>
        <v>0</v>
      </c>
      <c r="V73" s="1129">
        <f t="shared" si="67"/>
        <v>0</v>
      </c>
      <c r="W73" s="1129">
        <f t="shared" si="67"/>
        <v>0</v>
      </c>
      <c r="X73" s="1129">
        <f t="shared" si="67"/>
        <v>0</v>
      </c>
      <c r="Y73" s="1129">
        <f t="shared" si="67"/>
        <v>0</v>
      </c>
      <c r="Z73" s="1129">
        <f t="shared" si="67"/>
        <v>0</v>
      </c>
      <c r="AA73" s="1129">
        <f t="shared" si="67"/>
        <v>0</v>
      </c>
      <c r="AB73" s="1129">
        <f t="shared" si="67"/>
        <v>0</v>
      </c>
      <c r="AC73" s="1129">
        <f t="shared" si="67"/>
        <v>0</v>
      </c>
      <c r="AD73" s="1129">
        <f t="shared" si="67"/>
        <v>0</v>
      </c>
      <c r="AE73" s="1129">
        <f t="shared" si="67"/>
        <v>0</v>
      </c>
      <c r="AF73" s="1129">
        <f t="shared" si="67"/>
        <v>0</v>
      </c>
      <c r="AG73" s="1129">
        <f t="shared" si="67"/>
        <v>0</v>
      </c>
      <c r="AH73" s="1129">
        <f t="shared" si="67"/>
        <v>0</v>
      </c>
      <c r="AI73" s="1129">
        <f t="shared" si="67"/>
        <v>0</v>
      </c>
      <c r="AJ73" s="1129">
        <f t="shared" si="67"/>
        <v>0</v>
      </c>
      <c r="AK73" s="1129">
        <f t="shared" si="67"/>
        <v>0</v>
      </c>
      <c r="AL73" s="1129">
        <f t="shared" si="67"/>
        <v>0</v>
      </c>
      <c r="AM73" s="1129">
        <f t="shared" si="67"/>
        <v>0</v>
      </c>
      <c r="AN73" s="1129">
        <f t="shared" si="67"/>
        <v>0</v>
      </c>
      <c r="AO73" s="1129">
        <f t="shared" si="67"/>
        <v>0</v>
      </c>
      <c r="AP73" s="1129">
        <f t="shared" si="67"/>
        <v>0</v>
      </c>
      <c r="AQ73" s="1129">
        <f t="shared" si="67"/>
        <v>0</v>
      </c>
      <c r="AR73" s="1129">
        <f t="shared" si="67"/>
        <v>0</v>
      </c>
      <c r="AS73" s="1129">
        <f t="shared" si="67"/>
        <v>0</v>
      </c>
      <c r="AT73" s="1129">
        <f t="shared" si="67"/>
        <v>0</v>
      </c>
      <c r="AU73" s="1129">
        <f t="shared" si="67"/>
        <v>0</v>
      </c>
      <c r="AV73" s="1129">
        <f t="shared" si="67"/>
        <v>0</v>
      </c>
      <c r="AW73" s="1129">
        <f t="shared" si="67"/>
        <v>0</v>
      </c>
      <c r="AX73" s="1129">
        <f t="shared" si="67"/>
        <v>0</v>
      </c>
      <c r="AY73" s="1129">
        <f t="shared" si="67"/>
        <v>0</v>
      </c>
      <c r="AZ73" s="1129">
        <f t="shared" si="67"/>
        <v>0</v>
      </c>
      <c r="BA73" s="1129">
        <f t="shared" si="67"/>
        <v>0</v>
      </c>
      <c r="BB73" s="1129">
        <f t="shared" si="67"/>
        <v>0</v>
      </c>
      <c r="BC73" s="1129">
        <f t="shared" si="67"/>
        <v>0</v>
      </c>
      <c r="BD73" s="1129">
        <f t="shared" si="67"/>
        <v>0</v>
      </c>
      <c r="BE73" s="1129">
        <f t="shared" si="67"/>
        <v>0</v>
      </c>
      <c r="BF73" s="1129">
        <f t="shared" si="40"/>
        <v>0</v>
      </c>
      <c r="BG73" s="1129">
        <f t="shared" ref="BG73:BR73" si="68">+BG21-BG71</f>
        <v>0</v>
      </c>
      <c r="BH73" s="1129">
        <f t="shared" si="68"/>
        <v>0</v>
      </c>
      <c r="BI73" s="1129">
        <f t="shared" si="68"/>
        <v>0</v>
      </c>
      <c r="BJ73" s="1129">
        <f t="shared" si="68"/>
        <v>0</v>
      </c>
      <c r="BK73" s="1129">
        <f t="shared" si="68"/>
        <v>0</v>
      </c>
      <c r="BL73" s="1129">
        <f t="shared" si="68"/>
        <v>0</v>
      </c>
      <c r="BM73" s="1129">
        <f t="shared" si="68"/>
        <v>0</v>
      </c>
      <c r="BN73" s="1129">
        <f t="shared" si="68"/>
        <v>0</v>
      </c>
      <c r="BO73" s="1129">
        <f t="shared" si="68"/>
        <v>0</v>
      </c>
      <c r="BP73" s="1129">
        <f t="shared" si="68"/>
        <v>0</v>
      </c>
      <c r="BQ73" s="1129">
        <f t="shared" si="68"/>
        <v>0</v>
      </c>
      <c r="BR73" s="1129">
        <f t="shared" si="68"/>
        <v>0</v>
      </c>
      <c r="BS73" s="1129">
        <f t="shared" si="30"/>
        <v>0</v>
      </c>
      <c r="BT73" s="1129">
        <f>+BT21-BT71</f>
        <v>0</v>
      </c>
      <c r="BU73" s="1129">
        <f>+BU21-BU71</f>
        <v>0</v>
      </c>
      <c r="BV73" s="1129">
        <f>+BV21-BV71</f>
        <v>0</v>
      </c>
      <c r="BW73" s="1129">
        <f t="shared" si="31"/>
        <v>0</v>
      </c>
      <c r="BX73" s="1129">
        <f t="shared" ref="BX73:CD73" si="69">+BX21-BX71</f>
        <v>0</v>
      </c>
      <c r="BY73" s="1129">
        <f t="shared" si="69"/>
        <v>0</v>
      </c>
      <c r="BZ73" s="1129">
        <f t="shared" si="69"/>
        <v>0</v>
      </c>
      <c r="CA73" s="1129">
        <f t="shared" si="69"/>
        <v>0</v>
      </c>
      <c r="CB73" s="1129">
        <f t="shared" si="69"/>
        <v>0</v>
      </c>
      <c r="CC73" s="1129">
        <f t="shared" si="69"/>
        <v>0</v>
      </c>
      <c r="CD73" s="1129">
        <f t="shared" si="69"/>
        <v>0</v>
      </c>
      <c r="CE73" s="1129">
        <f t="shared" si="32"/>
        <v>0</v>
      </c>
      <c r="CF73" s="1129">
        <f>+CF21-CF71</f>
        <v>0</v>
      </c>
      <c r="CG73" s="1129">
        <f>+CG21-CG71</f>
        <v>0</v>
      </c>
      <c r="CH73" s="1129">
        <f>+CH21-CH71</f>
        <v>0</v>
      </c>
      <c r="CI73" s="1129">
        <f>+CI21-CI71</f>
        <v>0</v>
      </c>
      <c r="CK73" s="1129">
        <f t="shared" ref="CK73:CV73" si="70">+CK21-CK71</f>
        <v>0</v>
      </c>
      <c r="CL73" s="1129">
        <f t="shared" si="70"/>
        <v>0</v>
      </c>
      <c r="CM73" s="1129">
        <f t="shared" si="70"/>
        <v>0</v>
      </c>
      <c r="CN73" s="1129">
        <f t="shared" si="70"/>
        <v>0</v>
      </c>
      <c r="CO73" s="1129">
        <f t="shared" si="70"/>
        <v>0</v>
      </c>
      <c r="CP73" s="1129">
        <f t="shared" si="70"/>
        <v>0</v>
      </c>
      <c r="CQ73" s="1129">
        <f t="shared" si="70"/>
        <v>0</v>
      </c>
      <c r="CR73" s="1164">
        <f t="shared" si="70"/>
        <v>0</v>
      </c>
      <c r="CS73" s="1164">
        <f t="shared" si="70"/>
        <v>0</v>
      </c>
      <c r="CT73" s="1164">
        <f t="shared" si="70"/>
        <v>0</v>
      </c>
      <c r="CU73" s="1164">
        <f t="shared" si="70"/>
        <v>0</v>
      </c>
      <c r="CV73" s="1129">
        <f t="shared" si="70"/>
        <v>0</v>
      </c>
      <c r="CW73" s="1129"/>
      <c r="CX73" s="1165"/>
    </row>
    <row r="74" spans="1:102">
      <c r="N74" s="147"/>
      <c r="BC74" s="7"/>
      <c r="BJ74" s="7"/>
      <c r="BK74" s="7"/>
      <c r="BO74" s="7"/>
      <c r="BP74" s="7"/>
      <c r="BS74" s="7"/>
      <c r="BW74" s="147"/>
      <c r="BX74" s="7"/>
      <c r="BY74" s="7"/>
      <c r="BZ74" s="7"/>
      <c r="CA74" s="7"/>
      <c r="CB74" s="7"/>
      <c r="CC74" s="7"/>
      <c r="CD74" s="7"/>
      <c r="CE74" s="1130"/>
      <c r="CV74" s="310"/>
    </row>
    <row r="75" spans="1:102">
      <c r="N75" s="147"/>
      <c r="BC75" s="7"/>
      <c r="BJ75" s="7"/>
      <c r="BK75" s="7"/>
      <c r="BO75" s="7"/>
      <c r="BP75" s="7"/>
      <c r="BS75" s="7"/>
      <c r="BW75" s="147"/>
      <c r="BX75" s="7"/>
      <c r="BY75" s="7"/>
      <c r="BZ75" s="7"/>
      <c r="CA75" s="7"/>
      <c r="CB75" s="7"/>
      <c r="CC75" s="7"/>
      <c r="CD75" s="7"/>
      <c r="CE75" s="1130"/>
      <c r="CV75" s="310"/>
    </row>
    <row r="76" spans="1:102" s="685" customFormat="1" ht="18" customHeight="1">
      <c r="A76" s="290" t="str">
        <f>IF(C69="REKOLE","verrechnete Anlagenutzungskosten nach VKL","verrechnete Anlagenutzungskosten nach REKOLE")</f>
        <v>verrechnete Anlagenutzungskosten nach VKL</v>
      </c>
      <c r="B76" s="682"/>
      <c r="C76" s="683"/>
      <c r="I76" s="1077"/>
      <c r="J76" s="1077"/>
      <c r="K76" s="819">
        <f t="shared" ref="K76" si="71">SUM(I76+J76)</f>
        <v>0</v>
      </c>
      <c r="L76" s="1077"/>
      <c r="M76" s="1077"/>
      <c r="N76" s="819">
        <f t="shared" ref="N76" si="72">SUM(L76+M76)</f>
        <v>0</v>
      </c>
      <c r="O76" s="1077"/>
      <c r="P76" s="1077"/>
      <c r="Q76" s="1077"/>
      <c r="R76" s="819">
        <f>K76+N76+SUM(O76:Q76)</f>
        <v>0</v>
      </c>
      <c r="S76" s="1077"/>
      <c r="T76" s="1077"/>
      <c r="U76" s="1077"/>
      <c r="V76" s="1077"/>
      <c r="W76" s="1077"/>
      <c r="X76" s="1077"/>
      <c r="Y76" s="1077"/>
      <c r="Z76" s="1077"/>
      <c r="AA76" s="1077"/>
      <c r="AB76" s="1077"/>
      <c r="AC76" s="1077"/>
      <c r="AD76" s="1077"/>
      <c r="AE76" s="1077"/>
      <c r="AF76" s="1077"/>
      <c r="AG76" s="1077"/>
      <c r="AH76" s="1077"/>
      <c r="AI76" s="1077"/>
      <c r="AJ76" s="1077"/>
      <c r="AK76" s="1077"/>
      <c r="AL76" s="1077"/>
      <c r="AM76" s="1077"/>
      <c r="AN76" s="1077"/>
      <c r="AO76" s="1077"/>
      <c r="AP76" s="1077"/>
      <c r="AQ76" s="1077"/>
      <c r="AR76" s="1077"/>
      <c r="AS76" s="1077"/>
      <c r="AT76" s="1077"/>
      <c r="AU76" s="1077"/>
      <c r="AV76" s="1077"/>
      <c r="AW76" s="1077"/>
      <c r="AX76" s="1077"/>
      <c r="AY76" s="1077"/>
      <c r="AZ76" s="1077"/>
      <c r="BA76" s="1077"/>
      <c r="BB76" s="1077"/>
      <c r="BC76" s="1077"/>
      <c r="BD76" s="1077"/>
      <c r="BE76" s="1077"/>
      <c r="BF76" s="819">
        <f t="shared" ref="BF76" si="73">SUM(S76:BE76)</f>
        <v>0</v>
      </c>
      <c r="BG76" s="1077"/>
      <c r="BH76" s="1077"/>
      <c r="BI76" s="1077"/>
      <c r="BJ76" s="1077"/>
      <c r="BK76" s="1077"/>
      <c r="BL76" s="1077"/>
      <c r="BM76" s="1077"/>
      <c r="BN76" s="1077"/>
      <c r="BO76" s="1077"/>
      <c r="BP76" s="1077"/>
      <c r="BQ76" s="1077"/>
      <c r="BR76" s="1077"/>
      <c r="BS76" s="819">
        <f t="shared" ref="BS76" si="74">SUM(BG76:BR76)</f>
        <v>0</v>
      </c>
      <c r="BT76" s="1077"/>
      <c r="BU76" s="1077"/>
      <c r="BV76" s="1077"/>
      <c r="BW76" s="819">
        <f t="shared" ref="BW76" si="75">R76+BF76+BS76+BT76+BU76+BV76</f>
        <v>0</v>
      </c>
      <c r="BX76" s="1077"/>
      <c r="BY76" s="1077"/>
      <c r="BZ76" s="1077"/>
      <c r="CA76" s="1077"/>
      <c r="CB76" s="1077"/>
      <c r="CC76" s="1077"/>
      <c r="CD76" s="1077"/>
      <c r="CE76" s="1131">
        <f t="shared" ref="CE76" si="76">SUM(BX76:CD76)</f>
        <v>0</v>
      </c>
      <c r="CF76" s="1077"/>
      <c r="CG76" s="1077"/>
      <c r="CH76" s="819">
        <f>SUM(CK76:CV76)</f>
        <v>0</v>
      </c>
      <c r="CI76" s="819">
        <f>BW76+CE76+CF76+CG76+CH76</f>
        <v>0</v>
      </c>
      <c r="CK76" s="1077"/>
      <c r="CL76" s="1077"/>
      <c r="CM76" s="1077"/>
      <c r="CN76" s="1077"/>
      <c r="CO76" s="1077"/>
      <c r="CP76" s="1077"/>
      <c r="CQ76" s="1077"/>
      <c r="CR76" s="1077"/>
      <c r="CS76" s="1077"/>
      <c r="CT76" s="1077"/>
      <c r="CU76" s="1077"/>
      <c r="CV76" s="1077"/>
      <c r="CW76" s="819">
        <f>SUM(CK76:CU76)</f>
        <v>0</v>
      </c>
      <c r="CX76" s="780"/>
    </row>
    <row r="77" spans="1:102">
      <c r="N77" s="147"/>
      <c r="BC77" s="7"/>
      <c r="BJ77" s="7"/>
      <c r="BK77" s="7"/>
      <c r="BO77" s="7"/>
      <c r="BP77" s="7"/>
      <c r="BS77" s="7"/>
      <c r="BW77" s="147"/>
      <c r="BX77" s="7"/>
      <c r="BY77" s="7"/>
      <c r="BZ77" s="7"/>
      <c r="CA77" s="7"/>
      <c r="CB77" s="7"/>
      <c r="CC77" s="7"/>
      <c r="CD77" s="7"/>
      <c r="CE77" s="1130"/>
      <c r="CV77" s="310"/>
    </row>
    <row r="78" spans="1:102">
      <c r="N78" s="147"/>
      <c r="BC78" s="7"/>
      <c r="BJ78" s="7"/>
      <c r="BK78" s="7"/>
      <c r="BO78" s="7"/>
      <c r="BP78" s="7"/>
      <c r="BS78" s="7"/>
      <c r="BW78" s="147"/>
      <c r="BX78" s="7"/>
      <c r="BY78" s="7"/>
      <c r="BZ78" s="7"/>
      <c r="CA78" s="7"/>
      <c r="CB78" s="7"/>
      <c r="CC78" s="7"/>
      <c r="CD78" s="7"/>
      <c r="CE78" s="1130"/>
      <c r="CV78" s="310"/>
    </row>
    <row r="79" spans="1:102">
      <c r="A79" s="180" t="s">
        <v>362</v>
      </c>
      <c r="B79" s="180"/>
      <c r="C79" s="309"/>
      <c r="N79" s="147"/>
      <c r="BC79" s="7"/>
      <c r="BJ79" s="7"/>
      <c r="BK79" s="7"/>
      <c r="BO79" s="7"/>
      <c r="BP79" s="7"/>
      <c r="BS79" s="7"/>
      <c r="BW79" s="147"/>
      <c r="BX79" s="7"/>
      <c r="BY79" s="7"/>
      <c r="BZ79" s="7"/>
      <c r="CA79" s="7"/>
      <c r="CB79" s="7"/>
      <c r="CC79" s="7"/>
      <c r="CD79" s="7"/>
      <c r="CE79" s="1130"/>
      <c r="CV79" s="310"/>
    </row>
    <row r="80" spans="1:102" s="685" customFormat="1" ht="18" customHeight="1">
      <c r="A80" s="681" t="s">
        <v>360</v>
      </c>
      <c r="B80" s="682"/>
      <c r="C80" s="683"/>
      <c r="I80" s="684">
        <f t="shared" ref="I80:AN80" si="77">IF(I71=0,0,I21/I71)</f>
        <v>0</v>
      </c>
      <c r="J80" s="684">
        <f t="shared" si="77"/>
        <v>0</v>
      </c>
      <c r="K80" s="684">
        <f t="shared" si="77"/>
        <v>0</v>
      </c>
      <c r="L80" s="684">
        <f t="shared" si="77"/>
        <v>0</v>
      </c>
      <c r="M80" s="684">
        <f t="shared" si="77"/>
        <v>0</v>
      </c>
      <c r="N80" s="684">
        <f t="shared" si="77"/>
        <v>0</v>
      </c>
      <c r="O80" s="684">
        <f t="shared" si="77"/>
        <v>0</v>
      </c>
      <c r="P80" s="684">
        <f t="shared" si="77"/>
        <v>0</v>
      </c>
      <c r="Q80" s="684">
        <f t="shared" si="77"/>
        <v>0</v>
      </c>
      <c r="R80" s="684">
        <f t="shared" si="77"/>
        <v>0</v>
      </c>
      <c r="S80" s="684">
        <f t="shared" si="77"/>
        <v>0</v>
      </c>
      <c r="T80" s="684">
        <f t="shared" si="77"/>
        <v>0</v>
      </c>
      <c r="U80" s="684">
        <f t="shared" si="77"/>
        <v>0</v>
      </c>
      <c r="V80" s="684">
        <f t="shared" si="77"/>
        <v>0</v>
      </c>
      <c r="W80" s="684">
        <f t="shared" si="77"/>
        <v>0</v>
      </c>
      <c r="X80" s="684">
        <f t="shared" si="77"/>
        <v>0</v>
      </c>
      <c r="Y80" s="684">
        <f t="shared" si="77"/>
        <v>0</v>
      </c>
      <c r="Z80" s="684">
        <f t="shared" si="77"/>
        <v>0</v>
      </c>
      <c r="AA80" s="684">
        <f t="shared" si="77"/>
        <v>0</v>
      </c>
      <c r="AB80" s="684">
        <f t="shared" si="77"/>
        <v>0</v>
      </c>
      <c r="AC80" s="684">
        <f t="shared" si="77"/>
        <v>0</v>
      </c>
      <c r="AD80" s="684">
        <f t="shared" si="77"/>
        <v>0</v>
      </c>
      <c r="AE80" s="684">
        <f t="shared" si="77"/>
        <v>0</v>
      </c>
      <c r="AF80" s="684">
        <f t="shared" si="77"/>
        <v>0</v>
      </c>
      <c r="AG80" s="684">
        <f t="shared" si="77"/>
        <v>0</v>
      </c>
      <c r="AH80" s="684">
        <f t="shared" si="77"/>
        <v>0</v>
      </c>
      <c r="AI80" s="684">
        <f t="shared" si="77"/>
        <v>0</v>
      </c>
      <c r="AJ80" s="684">
        <f t="shared" si="77"/>
        <v>0</v>
      </c>
      <c r="AK80" s="684">
        <f t="shared" si="77"/>
        <v>0</v>
      </c>
      <c r="AL80" s="684">
        <f t="shared" si="77"/>
        <v>0</v>
      </c>
      <c r="AM80" s="684">
        <f t="shared" si="77"/>
        <v>0</v>
      </c>
      <c r="AN80" s="684">
        <f t="shared" si="77"/>
        <v>0</v>
      </c>
      <c r="AO80" s="684">
        <f t="shared" ref="AO80:BT80" si="78">IF(AO71=0,0,AO21/AO71)</f>
        <v>0</v>
      </c>
      <c r="AP80" s="684">
        <f t="shared" si="78"/>
        <v>0</v>
      </c>
      <c r="AQ80" s="684">
        <f t="shared" si="78"/>
        <v>0</v>
      </c>
      <c r="AR80" s="684">
        <f t="shared" si="78"/>
        <v>0</v>
      </c>
      <c r="AS80" s="684">
        <f t="shared" si="78"/>
        <v>0</v>
      </c>
      <c r="AT80" s="684">
        <f t="shared" si="78"/>
        <v>0</v>
      </c>
      <c r="AU80" s="684">
        <f t="shared" si="78"/>
        <v>0</v>
      </c>
      <c r="AV80" s="684">
        <f t="shared" si="78"/>
        <v>0</v>
      </c>
      <c r="AW80" s="684">
        <f t="shared" si="78"/>
        <v>0</v>
      </c>
      <c r="AX80" s="684">
        <f t="shared" si="78"/>
        <v>0</v>
      </c>
      <c r="AY80" s="684">
        <f t="shared" si="78"/>
        <v>0</v>
      </c>
      <c r="AZ80" s="684">
        <f t="shared" si="78"/>
        <v>0</v>
      </c>
      <c r="BA80" s="684">
        <f t="shared" si="78"/>
        <v>0</v>
      </c>
      <c r="BB80" s="684">
        <f t="shared" si="78"/>
        <v>0</v>
      </c>
      <c r="BC80" s="684">
        <f t="shared" si="78"/>
        <v>0</v>
      </c>
      <c r="BD80" s="684">
        <f t="shared" si="78"/>
        <v>0</v>
      </c>
      <c r="BE80" s="684">
        <f t="shared" si="78"/>
        <v>0</v>
      </c>
      <c r="BF80" s="684">
        <f t="shared" si="78"/>
        <v>0</v>
      </c>
      <c r="BG80" s="684">
        <f t="shared" si="78"/>
        <v>0</v>
      </c>
      <c r="BH80" s="684">
        <f t="shared" si="78"/>
        <v>0</v>
      </c>
      <c r="BI80" s="684">
        <f t="shared" si="78"/>
        <v>0</v>
      </c>
      <c r="BJ80" s="684">
        <f t="shared" si="78"/>
        <v>0</v>
      </c>
      <c r="BK80" s="684">
        <f t="shared" si="78"/>
        <v>0</v>
      </c>
      <c r="BL80" s="684">
        <f t="shared" si="78"/>
        <v>0</v>
      </c>
      <c r="BM80" s="684">
        <f t="shared" si="78"/>
        <v>0</v>
      </c>
      <c r="BN80" s="684">
        <f t="shared" si="78"/>
        <v>0</v>
      </c>
      <c r="BO80" s="684">
        <f t="shared" si="78"/>
        <v>0</v>
      </c>
      <c r="BP80" s="684">
        <f t="shared" si="78"/>
        <v>0</v>
      </c>
      <c r="BQ80" s="684">
        <f t="shared" si="78"/>
        <v>0</v>
      </c>
      <c r="BR80" s="684">
        <f t="shared" si="78"/>
        <v>0</v>
      </c>
      <c r="BS80" s="684">
        <f t="shared" si="78"/>
        <v>0</v>
      </c>
      <c r="BT80" s="684">
        <f t="shared" si="78"/>
        <v>0</v>
      </c>
      <c r="BU80" s="684">
        <f t="shared" ref="BU80:CI80" si="79">IF(BU71=0,0,BU21/BU71)</f>
        <v>0</v>
      </c>
      <c r="BV80" s="684">
        <f t="shared" si="79"/>
        <v>0</v>
      </c>
      <c r="BW80" s="684">
        <f t="shared" si="79"/>
        <v>0</v>
      </c>
      <c r="BX80" s="684">
        <f t="shared" si="79"/>
        <v>0</v>
      </c>
      <c r="BY80" s="684">
        <f t="shared" si="79"/>
        <v>0</v>
      </c>
      <c r="BZ80" s="684">
        <f t="shared" si="79"/>
        <v>0</v>
      </c>
      <c r="CA80" s="684">
        <f t="shared" si="79"/>
        <v>0</v>
      </c>
      <c r="CB80" s="684">
        <f t="shared" si="79"/>
        <v>0</v>
      </c>
      <c r="CC80" s="684">
        <f t="shared" si="79"/>
        <v>0</v>
      </c>
      <c r="CD80" s="684">
        <f t="shared" si="79"/>
        <v>0</v>
      </c>
      <c r="CE80" s="1132">
        <f t="shared" si="79"/>
        <v>0</v>
      </c>
      <c r="CF80" s="684">
        <f t="shared" si="79"/>
        <v>0</v>
      </c>
      <c r="CG80" s="684">
        <f t="shared" si="79"/>
        <v>0</v>
      </c>
      <c r="CH80" s="684">
        <f t="shared" si="79"/>
        <v>0</v>
      </c>
      <c r="CI80" s="684">
        <f t="shared" si="79"/>
        <v>0</v>
      </c>
      <c r="CK80" s="684">
        <f t="shared" ref="CK80:CU80" si="80">IF(CK71=0,0,CK21/CK71)</f>
        <v>0</v>
      </c>
      <c r="CL80" s="684">
        <f t="shared" si="80"/>
        <v>0</v>
      </c>
      <c r="CM80" s="684">
        <f t="shared" si="80"/>
        <v>0</v>
      </c>
      <c r="CN80" s="684">
        <f t="shared" si="80"/>
        <v>0</v>
      </c>
      <c r="CO80" s="684">
        <f t="shared" si="80"/>
        <v>0</v>
      </c>
      <c r="CP80" s="684">
        <f t="shared" si="80"/>
        <v>0</v>
      </c>
      <c r="CQ80" s="684">
        <f t="shared" si="80"/>
        <v>0</v>
      </c>
      <c r="CR80" s="684">
        <f t="shared" si="80"/>
        <v>0</v>
      </c>
      <c r="CS80" s="684">
        <f t="shared" si="80"/>
        <v>0</v>
      </c>
      <c r="CT80" s="684">
        <f t="shared" si="80"/>
        <v>0</v>
      </c>
      <c r="CU80" s="684">
        <f t="shared" si="80"/>
        <v>0</v>
      </c>
      <c r="CV80" s="684"/>
      <c r="CW80" s="684">
        <f>IF(CW71=0,0,CW21/CW71)</f>
        <v>0</v>
      </c>
      <c r="CX80" s="780"/>
    </row>
    <row r="81" spans="1:102" s="685" customFormat="1" ht="18" customHeight="1">
      <c r="A81" s="681" t="s">
        <v>361</v>
      </c>
      <c r="B81" s="682"/>
      <c r="C81" s="683"/>
      <c r="I81" s="684">
        <f t="shared" ref="I81:AN81" si="81">IF(I71=0,0,I69/I71)</f>
        <v>0</v>
      </c>
      <c r="J81" s="684">
        <f t="shared" si="81"/>
        <v>0</v>
      </c>
      <c r="K81" s="684">
        <f t="shared" si="81"/>
        <v>0</v>
      </c>
      <c r="L81" s="684">
        <f t="shared" si="81"/>
        <v>0</v>
      </c>
      <c r="M81" s="684">
        <f t="shared" si="81"/>
        <v>0</v>
      </c>
      <c r="N81" s="684">
        <f t="shared" si="81"/>
        <v>0</v>
      </c>
      <c r="O81" s="684">
        <f t="shared" si="81"/>
        <v>0</v>
      </c>
      <c r="P81" s="684">
        <f t="shared" si="81"/>
        <v>0</v>
      </c>
      <c r="Q81" s="684">
        <f t="shared" si="81"/>
        <v>0</v>
      </c>
      <c r="R81" s="684">
        <f t="shared" si="81"/>
        <v>0</v>
      </c>
      <c r="S81" s="684">
        <f t="shared" si="81"/>
        <v>0</v>
      </c>
      <c r="T81" s="684">
        <f t="shared" si="81"/>
        <v>0</v>
      </c>
      <c r="U81" s="684">
        <f t="shared" si="81"/>
        <v>0</v>
      </c>
      <c r="V81" s="684">
        <f t="shared" si="81"/>
        <v>0</v>
      </c>
      <c r="W81" s="684">
        <f t="shared" si="81"/>
        <v>0</v>
      </c>
      <c r="X81" s="684">
        <f t="shared" si="81"/>
        <v>0</v>
      </c>
      <c r="Y81" s="684">
        <f t="shared" si="81"/>
        <v>0</v>
      </c>
      <c r="Z81" s="684">
        <f t="shared" si="81"/>
        <v>0</v>
      </c>
      <c r="AA81" s="684">
        <f t="shared" si="81"/>
        <v>0</v>
      </c>
      <c r="AB81" s="684">
        <f t="shared" si="81"/>
        <v>0</v>
      </c>
      <c r="AC81" s="684">
        <f t="shared" si="81"/>
        <v>0</v>
      </c>
      <c r="AD81" s="684">
        <f t="shared" si="81"/>
        <v>0</v>
      </c>
      <c r="AE81" s="684">
        <f t="shared" si="81"/>
        <v>0</v>
      </c>
      <c r="AF81" s="684">
        <f t="shared" si="81"/>
        <v>0</v>
      </c>
      <c r="AG81" s="684">
        <f t="shared" si="81"/>
        <v>0</v>
      </c>
      <c r="AH81" s="684">
        <f t="shared" si="81"/>
        <v>0</v>
      </c>
      <c r="AI81" s="684">
        <f t="shared" si="81"/>
        <v>0</v>
      </c>
      <c r="AJ81" s="684">
        <f t="shared" si="81"/>
        <v>0</v>
      </c>
      <c r="AK81" s="684">
        <f t="shared" si="81"/>
        <v>0</v>
      </c>
      <c r="AL81" s="684">
        <f t="shared" si="81"/>
        <v>0</v>
      </c>
      <c r="AM81" s="684">
        <f t="shared" si="81"/>
        <v>0</v>
      </c>
      <c r="AN81" s="684">
        <f t="shared" si="81"/>
        <v>0</v>
      </c>
      <c r="AO81" s="684">
        <f t="shared" ref="AO81:CI81" si="82">IF(AO71=0,0,AO69/AO71)</f>
        <v>0</v>
      </c>
      <c r="AP81" s="684">
        <f t="shared" si="82"/>
        <v>0</v>
      </c>
      <c r="AQ81" s="684">
        <f t="shared" ref="AQ81:AT81" si="83">IF(AQ71=0,0,AQ69/AQ71)</f>
        <v>0</v>
      </c>
      <c r="AR81" s="684">
        <f t="shared" si="83"/>
        <v>0</v>
      </c>
      <c r="AS81" s="684">
        <f t="shared" si="83"/>
        <v>0</v>
      </c>
      <c r="AT81" s="684">
        <f t="shared" si="83"/>
        <v>0</v>
      </c>
      <c r="AU81" s="684">
        <f t="shared" ref="AU81:BB81" si="84">IF(AU71=0,0,AU69/AU71)</f>
        <v>0</v>
      </c>
      <c r="AV81" s="684">
        <f t="shared" si="84"/>
        <v>0</v>
      </c>
      <c r="AW81" s="684">
        <f t="shared" si="84"/>
        <v>0</v>
      </c>
      <c r="AX81" s="684">
        <f t="shared" si="84"/>
        <v>0</v>
      </c>
      <c r="AY81" s="684">
        <f t="shared" si="84"/>
        <v>0</v>
      </c>
      <c r="AZ81" s="684">
        <f t="shared" si="84"/>
        <v>0</v>
      </c>
      <c r="BA81" s="684">
        <f t="shared" si="84"/>
        <v>0</v>
      </c>
      <c r="BB81" s="684">
        <f t="shared" si="84"/>
        <v>0</v>
      </c>
      <c r="BC81" s="684">
        <f t="shared" si="82"/>
        <v>0</v>
      </c>
      <c r="BD81" s="684">
        <f t="shared" si="82"/>
        <v>0</v>
      </c>
      <c r="BE81" s="684">
        <f t="shared" si="82"/>
        <v>0</v>
      </c>
      <c r="BF81" s="684">
        <f t="shared" si="82"/>
        <v>0</v>
      </c>
      <c r="BG81" s="684">
        <f t="shared" si="82"/>
        <v>0</v>
      </c>
      <c r="BH81" s="684">
        <f t="shared" si="82"/>
        <v>0</v>
      </c>
      <c r="BI81" s="684">
        <f t="shared" si="82"/>
        <v>0</v>
      </c>
      <c r="BJ81" s="684">
        <f t="shared" si="82"/>
        <v>0</v>
      </c>
      <c r="BK81" s="684">
        <f t="shared" si="82"/>
        <v>0</v>
      </c>
      <c r="BL81" s="684">
        <f t="shared" si="82"/>
        <v>0</v>
      </c>
      <c r="BM81" s="684">
        <f t="shared" si="82"/>
        <v>0</v>
      </c>
      <c r="BN81" s="684">
        <f t="shared" si="82"/>
        <v>0</v>
      </c>
      <c r="BO81" s="684">
        <f t="shared" si="82"/>
        <v>0</v>
      </c>
      <c r="BP81" s="684">
        <f t="shared" si="82"/>
        <v>0</v>
      </c>
      <c r="BQ81" s="684">
        <f t="shared" si="82"/>
        <v>0</v>
      </c>
      <c r="BR81" s="684">
        <f t="shared" si="82"/>
        <v>0</v>
      </c>
      <c r="BS81" s="684">
        <f t="shared" si="82"/>
        <v>0</v>
      </c>
      <c r="BT81" s="684">
        <f t="shared" si="82"/>
        <v>0</v>
      </c>
      <c r="BU81" s="684">
        <f t="shared" si="82"/>
        <v>0</v>
      </c>
      <c r="BV81" s="684">
        <f t="shared" si="82"/>
        <v>0</v>
      </c>
      <c r="BW81" s="684">
        <f t="shared" si="82"/>
        <v>0</v>
      </c>
      <c r="BX81" s="684">
        <f t="shared" si="82"/>
        <v>0</v>
      </c>
      <c r="BY81" s="684">
        <f t="shared" si="82"/>
        <v>0</v>
      </c>
      <c r="BZ81" s="684">
        <f t="shared" si="82"/>
        <v>0</v>
      </c>
      <c r="CA81" s="684">
        <f t="shared" si="82"/>
        <v>0</v>
      </c>
      <c r="CB81" s="684">
        <f t="shared" si="82"/>
        <v>0</v>
      </c>
      <c r="CC81" s="684">
        <f t="shared" si="82"/>
        <v>0</v>
      </c>
      <c r="CD81" s="684">
        <f t="shared" si="82"/>
        <v>0</v>
      </c>
      <c r="CE81" s="1132">
        <f t="shared" si="82"/>
        <v>0</v>
      </c>
      <c r="CF81" s="684">
        <f t="shared" si="82"/>
        <v>0</v>
      </c>
      <c r="CG81" s="684">
        <f t="shared" si="82"/>
        <v>0</v>
      </c>
      <c r="CH81" s="684">
        <f t="shared" si="82"/>
        <v>0</v>
      </c>
      <c r="CI81" s="684">
        <f t="shared" si="82"/>
        <v>0</v>
      </c>
      <c r="CK81" s="684">
        <f t="shared" ref="CK81:CV81" si="85">IF(CK71=0,0,CK69/CK71)</f>
        <v>0</v>
      </c>
      <c r="CL81" s="684">
        <f t="shared" si="85"/>
        <v>0</v>
      </c>
      <c r="CM81" s="684">
        <f t="shared" si="85"/>
        <v>0</v>
      </c>
      <c r="CN81" s="684">
        <f t="shared" si="85"/>
        <v>0</v>
      </c>
      <c r="CO81" s="684">
        <f t="shared" si="85"/>
        <v>0</v>
      </c>
      <c r="CP81" s="684">
        <f t="shared" si="85"/>
        <v>0</v>
      </c>
      <c r="CQ81" s="684">
        <f t="shared" si="85"/>
        <v>0</v>
      </c>
      <c r="CR81" s="684">
        <f t="shared" si="85"/>
        <v>0</v>
      </c>
      <c r="CS81" s="684">
        <f t="shared" si="85"/>
        <v>0</v>
      </c>
      <c r="CT81" s="684">
        <f t="shared" si="85"/>
        <v>0</v>
      </c>
      <c r="CU81" s="684">
        <f t="shared" si="85"/>
        <v>0</v>
      </c>
      <c r="CV81" s="684">
        <f t="shared" si="85"/>
        <v>0</v>
      </c>
      <c r="CW81" s="684" t="e">
        <f>CW69/CW71</f>
        <v>#DIV/0!</v>
      </c>
      <c r="CX81" s="780"/>
    </row>
    <row r="82" spans="1:102" s="685" customFormat="1" ht="18" customHeight="1">
      <c r="A82" s="799" t="s">
        <v>1341</v>
      </c>
      <c r="B82" s="800"/>
      <c r="C82" s="801"/>
      <c r="I82" s="802" t="e">
        <f t="shared" ref="I82:AN82" si="86">I69/(I71-I69)</f>
        <v>#DIV/0!</v>
      </c>
      <c r="J82" s="802" t="e">
        <f t="shared" si="86"/>
        <v>#DIV/0!</v>
      </c>
      <c r="K82" s="802" t="e">
        <f t="shared" si="86"/>
        <v>#DIV/0!</v>
      </c>
      <c r="L82" s="802" t="e">
        <f t="shared" si="86"/>
        <v>#DIV/0!</v>
      </c>
      <c r="M82" s="802" t="e">
        <f t="shared" si="86"/>
        <v>#DIV/0!</v>
      </c>
      <c r="N82" s="802" t="e">
        <f t="shared" si="86"/>
        <v>#DIV/0!</v>
      </c>
      <c r="O82" s="802" t="e">
        <f t="shared" si="86"/>
        <v>#DIV/0!</v>
      </c>
      <c r="P82" s="802" t="e">
        <f t="shared" si="86"/>
        <v>#DIV/0!</v>
      </c>
      <c r="Q82" s="802" t="e">
        <f t="shared" si="86"/>
        <v>#DIV/0!</v>
      </c>
      <c r="R82" s="802" t="e">
        <f t="shared" si="86"/>
        <v>#DIV/0!</v>
      </c>
      <c r="S82" s="802" t="e">
        <f t="shared" si="86"/>
        <v>#DIV/0!</v>
      </c>
      <c r="T82" s="802" t="e">
        <f t="shared" si="86"/>
        <v>#DIV/0!</v>
      </c>
      <c r="U82" s="802" t="e">
        <f t="shared" si="86"/>
        <v>#DIV/0!</v>
      </c>
      <c r="V82" s="802" t="e">
        <f t="shared" si="86"/>
        <v>#DIV/0!</v>
      </c>
      <c r="W82" s="802" t="e">
        <f t="shared" si="86"/>
        <v>#DIV/0!</v>
      </c>
      <c r="X82" s="802" t="e">
        <f t="shared" si="86"/>
        <v>#DIV/0!</v>
      </c>
      <c r="Y82" s="802" t="e">
        <f t="shared" si="86"/>
        <v>#DIV/0!</v>
      </c>
      <c r="Z82" s="802" t="e">
        <f t="shared" si="86"/>
        <v>#DIV/0!</v>
      </c>
      <c r="AA82" s="802" t="e">
        <f t="shared" si="86"/>
        <v>#DIV/0!</v>
      </c>
      <c r="AB82" s="802" t="e">
        <f t="shared" si="86"/>
        <v>#DIV/0!</v>
      </c>
      <c r="AC82" s="802" t="e">
        <f t="shared" si="86"/>
        <v>#DIV/0!</v>
      </c>
      <c r="AD82" s="802" t="e">
        <f t="shared" si="86"/>
        <v>#DIV/0!</v>
      </c>
      <c r="AE82" s="802" t="e">
        <f t="shared" si="86"/>
        <v>#DIV/0!</v>
      </c>
      <c r="AF82" s="802" t="e">
        <f t="shared" si="86"/>
        <v>#DIV/0!</v>
      </c>
      <c r="AG82" s="802" t="e">
        <f t="shared" si="86"/>
        <v>#DIV/0!</v>
      </c>
      <c r="AH82" s="802" t="e">
        <f t="shared" si="86"/>
        <v>#DIV/0!</v>
      </c>
      <c r="AI82" s="802" t="e">
        <f t="shared" si="86"/>
        <v>#DIV/0!</v>
      </c>
      <c r="AJ82" s="802" t="e">
        <f t="shared" si="86"/>
        <v>#DIV/0!</v>
      </c>
      <c r="AK82" s="802" t="e">
        <f t="shared" si="86"/>
        <v>#DIV/0!</v>
      </c>
      <c r="AL82" s="802" t="e">
        <f t="shared" si="86"/>
        <v>#DIV/0!</v>
      </c>
      <c r="AM82" s="802" t="e">
        <f t="shared" si="86"/>
        <v>#DIV/0!</v>
      </c>
      <c r="AN82" s="802" t="e">
        <f t="shared" si="86"/>
        <v>#DIV/0!</v>
      </c>
      <c r="AO82" s="802" t="e">
        <f t="shared" ref="AO82:CF82" si="87">AO69/(AO71-AO69)</f>
        <v>#DIV/0!</v>
      </c>
      <c r="AP82" s="802" t="e">
        <f t="shared" si="87"/>
        <v>#DIV/0!</v>
      </c>
      <c r="AQ82" s="802" t="e">
        <f t="shared" ref="AQ82:AT82" si="88">AQ69/(AQ71-AQ69)</f>
        <v>#DIV/0!</v>
      </c>
      <c r="AR82" s="802" t="e">
        <f t="shared" si="88"/>
        <v>#DIV/0!</v>
      </c>
      <c r="AS82" s="802" t="e">
        <f t="shared" si="88"/>
        <v>#DIV/0!</v>
      </c>
      <c r="AT82" s="802" t="e">
        <f t="shared" si="88"/>
        <v>#DIV/0!</v>
      </c>
      <c r="AU82" s="802" t="e">
        <f t="shared" ref="AU82:BB82" si="89">AU69/(AU71-AU69)</f>
        <v>#DIV/0!</v>
      </c>
      <c r="AV82" s="802" t="e">
        <f t="shared" si="89"/>
        <v>#DIV/0!</v>
      </c>
      <c r="AW82" s="802" t="e">
        <f t="shared" si="89"/>
        <v>#DIV/0!</v>
      </c>
      <c r="AX82" s="802" t="e">
        <f t="shared" si="89"/>
        <v>#DIV/0!</v>
      </c>
      <c r="AY82" s="802" t="e">
        <f t="shared" si="89"/>
        <v>#DIV/0!</v>
      </c>
      <c r="AZ82" s="802" t="e">
        <f t="shared" si="89"/>
        <v>#DIV/0!</v>
      </c>
      <c r="BA82" s="802" t="e">
        <f t="shared" si="89"/>
        <v>#DIV/0!</v>
      </c>
      <c r="BB82" s="802" t="e">
        <f t="shared" si="89"/>
        <v>#DIV/0!</v>
      </c>
      <c r="BC82" s="802" t="e">
        <f t="shared" si="87"/>
        <v>#DIV/0!</v>
      </c>
      <c r="BD82" s="802" t="e">
        <f t="shared" si="87"/>
        <v>#DIV/0!</v>
      </c>
      <c r="BE82" s="802" t="e">
        <f t="shared" si="87"/>
        <v>#DIV/0!</v>
      </c>
      <c r="BF82" s="802" t="e">
        <f t="shared" si="87"/>
        <v>#DIV/0!</v>
      </c>
      <c r="BG82" s="802" t="e">
        <f t="shared" si="87"/>
        <v>#DIV/0!</v>
      </c>
      <c r="BH82" s="802" t="e">
        <f t="shared" si="87"/>
        <v>#DIV/0!</v>
      </c>
      <c r="BI82" s="802" t="e">
        <f t="shared" si="87"/>
        <v>#DIV/0!</v>
      </c>
      <c r="BJ82" s="802" t="e">
        <f t="shared" si="87"/>
        <v>#DIV/0!</v>
      </c>
      <c r="BK82" s="802" t="e">
        <f t="shared" si="87"/>
        <v>#DIV/0!</v>
      </c>
      <c r="BL82" s="802" t="e">
        <f t="shared" si="87"/>
        <v>#DIV/0!</v>
      </c>
      <c r="BM82" s="802" t="e">
        <f t="shared" si="87"/>
        <v>#DIV/0!</v>
      </c>
      <c r="BN82" s="802" t="e">
        <f t="shared" si="87"/>
        <v>#DIV/0!</v>
      </c>
      <c r="BO82" s="802" t="e">
        <f t="shared" si="87"/>
        <v>#DIV/0!</v>
      </c>
      <c r="BP82" s="802" t="e">
        <f t="shared" si="87"/>
        <v>#DIV/0!</v>
      </c>
      <c r="BQ82" s="802" t="e">
        <f t="shared" si="87"/>
        <v>#DIV/0!</v>
      </c>
      <c r="BR82" s="802" t="e">
        <f t="shared" si="87"/>
        <v>#DIV/0!</v>
      </c>
      <c r="BS82" s="802" t="e">
        <f t="shared" si="87"/>
        <v>#DIV/0!</v>
      </c>
      <c r="BT82" s="802" t="e">
        <f t="shared" si="87"/>
        <v>#DIV/0!</v>
      </c>
      <c r="BU82" s="802" t="e">
        <f t="shared" si="87"/>
        <v>#DIV/0!</v>
      </c>
      <c r="BV82" s="802" t="e">
        <f t="shared" si="87"/>
        <v>#DIV/0!</v>
      </c>
      <c r="BW82" s="802" t="e">
        <f t="shared" si="87"/>
        <v>#DIV/0!</v>
      </c>
      <c r="BX82" s="802" t="e">
        <f t="shared" si="87"/>
        <v>#DIV/0!</v>
      </c>
      <c r="BY82" s="802" t="e">
        <f t="shared" si="87"/>
        <v>#DIV/0!</v>
      </c>
      <c r="BZ82" s="802" t="e">
        <f t="shared" si="87"/>
        <v>#DIV/0!</v>
      </c>
      <c r="CA82" s="802" t="e">
        <f t="shared" si="87"/>
        <v>#DIV/0!</v>
      </c>
      <c r="CB82" s="802" t="e">
        <f t="shared" si="87"/>
        <v>#DIV/0!</v>
      </c>
      <c r="CC82" s="802" t="e">
        <f t="shared" si="87"/>
        <v>#DIV/0!</v>
      </c>
      <c r="CD82" s="802" t="e">
        <f t="shared" si="87"/>
        <v>#DIV/0!</v>
      </c>
      <c r="CE82" s="1133" t="e">
        <f t="shared" si="87"/>
        <v>#DIV/0!</v>
      </c>
      <c r="CF82" s="802" t="e">
        <f t="shared" si="87"/>
        <v>#DIV/0!</v>
      </c>
      <c r="CG82" s="802" t="e">
        <f t="shared" ref="CG82:CW82" si="90">CG69/(CG71-CG69)</f>
        <v>#DIV/0!</v>
      </c>
      <c r="CH82" s="802" t="e">
        <f t="shared" si="90"/>
        <v>#DIV/0!</v>
      </c>
      <c r="CI82" s="802" t="e">
        <f t="shared" si="90"/>
        <v>#DIV/0!</v>
      </c>
      <c r="CK82" s="802" t="e">
        <f t="shared" si="90"/>
        <v>#DIV/0!</v>
      </c>
      <c r="CL82" s="802" t="e">
        <f t="shared" si="90"/>
        <v>#DIV/0!</v>
      </c>
      <c r="CM82" s="802" t="e">
        <f t="shared" si="90"/>
        <v>#DIV/0!</v>
      </c>
      <c r="CN82" s="802" t="e">
        <f t="shared" si="90"/>
        <v>#DIV/0!</v>
      </c>
      <c r="CO82" s="802" t="e">
        <f t="shared" si="90"/>
        <v>#DIV/0!</v>
      </c>
      <c r="CP82" s="802" t="e">
        <f t="shared" si="90"/>
        <v>#DIV/0!</v>
      </c>
      <c r="CQ82" s="802" t="e">
        <f t="shared" si="90"/>
        <v>#DIV/0!</v>
      </c>
      <c r="CR82" s="802" t="e">
        <f t="shared" si="90"/>
        <v>#DIV/0!</v>
      </c>
      <c r="CS82" s="802" t="e">
        <f t="shared" si="90"/>
        <v>#DIV/0!</v>
      </c>
      <c r="CT82" s="802" t="e">
        <f t="shared" si="90"/>
        <v>#DIV/0!</v>
      </c>
      <c r="CU82" s="802" t="e">
        <f t="shared" si="90"/>
        <v>#DIV/0!</v>
      </c>
      <c r="CV82" s="802" t="e">
        <f t="shared" si="90"/>
        <v>#DIV/0!</v>
      </c>
      <c r="CW82" s="802" t="e">
        <f t="shared" si="90"/>
        <v>#DIV/0!</v>
      </c>
      <c r="CX82" s="803"/>
    </row>
    <row r="83" spans="1:102" s="685" customFormat="1" ht="18" customHeight="1">
      <c r="A83" s="728" t="s">
        <v>620</v>
      </c>
      <c r="B83" s="686"/>
      <c r="C83" s="687"/>
      <c r="I83" s="1078"/>
      <c r="J83" s="1078"/>
      <c r="K83" s="688">
        <f>SUM(I83:J83)</f>
        <v>0</v>
      </c>
      <c r="L83" s="1078"/>
      <c r="M83" s="1078"/>
      <c r="N83" s="688">
        <f>SUM(L83:M83)</f>
        <v>0</v>
      </c>
      <c r="O83" s="1078"/>
      <c r="P83" s="1078"/>
      <c r="Q83" s="1078"/>
      <c r="R83" s="688">
        <f>K83+N83+O83+P83+Q83</f>
        <v>0</v>
      </c>
      <c r="S83" s="1078"/>
      <c r="T83" s="1078"/>
      <c r="U83" s="1078"/>
      <c r="V83" s="1078"/>
      <c r="W83" s="1078"/>
      <c r="X83" s="1078"/>
      <c r="Y83" s="1078"/>
      <c r="Z83" s="1078"/>
      <c r="AA83" s="1078"/>
      <c r="AB83" s="1078"/>
      <c r="AC83" s="1078"/>
      <c r="AD83" s="1078"/>
      <c r="AE83" s="1078"/>
      <c r="AF83" s="1078"/>
      <c r="AG83" s="1078"/>
      <c r="AH83" s="1078"/>
      <c r="AI83" s="1078"/>
      <c r="AJ83" s="1078"/>
      <c r="AK83" s="1078"/>
      <c r="AL83" s="1078"/>
      <c r="AM83" s="1078"/>
      <c r="AN83" s="1078"/>
      <c r="AO83" s="1078"/>
      <c r="AP83" s="1078"/>
      <c r="AQ83" s="1078"/>
      <c r="AR83" s="1078"/>
      <c r="AS83" s="1078"/>
      <c r="AT83" s="1078"/>
      <c r="AU83" s="1078"/>
      <c r="AV83" s="1078"/>
      <c r="AW83" s="1078"/>
      <c r="AX83" s="1078"/>
      <c r="AY83" s="1078"/>
      <c r="AZ83" s="1078"/>
      <c r="BA83" s="1078"/>
      <c r="BB83" s="1078"/>
      <c r="BC83" s="1078"/>
      <c r="BD83" s="1078"/>
      <c r="BE83" s="1078"/>
      <c r="BF83" s="688">
        <f>SUM(S83:BE83)</f>
        <v>0</v>
      </c>
      <c r="BG83" s="1078"/>
      <c r="BH83" s="1078"/>
      <c r="BI83" s="1078"/>
      <c r="BJ83" s="1078"/>
      <c r="BK83" s="1078"/>
      <c r="BL83" s="1078"/>
      <c r="BM83" s="1078"/>
      <c r="BN83" s="1078"/>
      <c r="BO83" s="1078"/>
      <c r="BP83" s="1078"/>
      <c r="BQ83" s="1078"/>
      <c r="BR83" s="1078"/>
      <c r="BS83" s="688">
        <f>SUM(BG83:BR83)</f>
        <v>0</v>
      </c>
      <c r="BT83" s="1078"/>
      <c r="BU83" s="1078"/>
      <c r="BV83" s="1078"/>
      <c r="BW83" s="688">
        <f>R83+BF83+BS83+CE83+BT83+BU83+BV83+CF83+CG83</f>
        <v>0</v>
      </c>
      <c r="BX83" s="1078"/>
      <c r="BY83" s="1078"/>
      <c r="BZ83" s="1078"/>
      <c r="CA83" s="1078"/>
      <c r="CB83" s="1078"/>
      <c r="CC83" s="1078"/>
      <c r="CD83" s="1078"/>
      <c r="CE83" s="1134">
        <f>SUM(BX83:CD83)</f>
        <v>0</v>
      </c>
      <c r="CF83" s="1078"/>
      <c r="CG83" s="1078"/>
      <c r="CH83" s="688">
        <f>SUM(CK83:CV83)</f>
        <v>0</v>
      </c>
      <c r="CI83" s="688">
        <f>BW83+CH83</f>
        <v>0</v>
      </c>
      <c r="CK83" s="1078"/>
      <c r="CL83" s="1078"/>
      <c r="CM83" s="1078"/>
      <c r="CN83" s="1078"/>
      <c r="CO83" s="1078"/>
      <c r="CP83" s="1078"/>
      <c r="CQ83" s="1078"/>
      <c r="CR83" s="1078"/>
      <c r="CS83" s="1078"/>
      <c r="CT83" s="1078"/>
      <c r="CU83" s="1078"/>
      <c r="CV83" s="1078"/>
      <c r="CW83" s="688">
        <f>SUM(CK83:CU83)</f>
        <v>0</v>
      </c>
      <c r="CX83" s="781"/>
    </row>
    <row r="84" spans="1:102" s="685" customFormat="1" ht="18" customHeight="1">
      <c r="A84" s="727" t="s">
        <v>363</v>
      </c>
      <c r="B84" s="689"/>
      <c r="C84" s="690"/>
      <c r="I84" s="957" t="e">
        <f>(I71-I83)/I83</f>
        <v>#DIV/0!</v>
      </c>
      <c r="J84" s="958" t="e">
        <f t="shared" ref="J84:BU84" si="91">(J71-J83)/J83</f>
        <v>#DIV/0!</v>
      </c>
      <c r="K84" s="958" t="e">
        <f t="shared" si="91"/>
        <v>#DIV/0!</v>
      </c>
      <c r="L84" s="958" t="e">
        <f t="shared" si="91"/>
        <v>#DIV/0!</v>
      </c>
      <c r="M84" s="958" t="e">
        <f t="shared" si="91"/>
        <v>#DIV/0!</v>
      </c>
      <c r="N84" s="958" t="e">
        <f t="shared" si="91"/>
        <v>#DIV/0!</v>
      </c>
      <c r="O84" s="958" t="e">
        <f t="shared" si="91"/>
        <v>#DIV/0!</v>
      </c>
      <c r="P84" s="958" t="e">
        <f t="shared" si="91"/>
        <v>#DIV/0!</v>
      </c>
      <c r="Q84" s="958" t="e">
        <f t="shared" si="91"/>
        <v>#DIV/0!</v>
      </c>
      <c r="R84" s="958" t="e">
        <f t="shared" si="91"/>
        <v>#DIV/0!</v>
      </c>
      <c r="S84" s="958" t="e">
        <f t="shared" si="91"/>
        <v>#DIV/0!</v>
      </c>
      <c r="T84" s="958" t="e">
        <f t="shared" si="91"/>
        <v>#DIV/0!</v>
      </c>
      <c r="U84" s="958" t="e">
        <f t="shared" si="91"/>
        <v>#DIV/0!</v>
      </c>
      <c r="V84" s="958" t="e">
        <f t="shared" si="91"/>
        <v>#DIV/0!</v>
      </c>
      <c r="W84" s="958" t="e">
        <f t="shared" si="91"/>
        <v>#DIV/0!</v>
      </c>
      <c r="X84" s="958" t="e">
        <f t="shared" si="91"/>
        <v>#DIV/0!</v>
      </c>
      <c r="Y84" s="958" t="e">
        <f t="shared" si="91"/>
        <v>#DIV/0!</v>
      </c>
      <c r="Z84" s="958" t="e">
        <f t="shared" si="91"/>
        <v>#DIV/0!</v>
      </c>
      <c r="AA84" s="958" t="e">
        <f t="shared" si="91"/>
        <v>#DIV/0!</v>
      </c>
      <c r="AB84" s="958" t="e">
        <f t="shared" si="91"/>
        <v>#DIV/0!</v>
      </c>
      <c r="AC84" s="958" t="e">
        <f t="shared" si="91"/>
        <v>#DIV/0!</v>
      </c>
      <c r="AD84" s="958" t="e">
        <f t="shared" si="91"/>
        <v>#DIV/0!</v>
      </c>
      <c r="AE84" s="958" t="e">
        <f t="shared" si="91"/>
        <v>#DIV/0!</v>
      </c>
      <c r="AF84" s="958" t="e">
        <f t="shared" si="91"/>
        <v>#DIV/0!</v>
      </c>
      <c r="AG84" s="958" t="e">
        <f t="shared" si="91"/>
        <v>#DIV/0!</v>
      </c>
      <c r="AH84" s="958" t="e">
        <f t="shared" si="91"/>
        <v>#DIV/0!</v>
      </c>
      <c r="AI84" s="958" t="e">
        <f t="shared" si="91"/>
        <v>#DIV/0!</v>
      </c>
      <c r="AJ84" s="958" t="e">
        <f t="shared" si="91"/>
        <v>#DIV/0!</v>
      </c>
      <c r="AK84" s="958" t="e">
        <f t="shared" si="91"/>
        <v>#DIV/0!</v>
      </c>
      <c r="AL84" s="958" t="e">
        <f t="shared" si="91"/>
        <v>#DIV/0!</v>
      </c>
      <c r="AM84" s="958" t="e">
        <f t="shared" si="91"/>
        <v>#DIV/0!</v>
      </c>
      <c r="AN84" s="958" t="e">
        <f t="shared" si="91"/>
        <v>#DIV/0!</v>
      </c>
      <c r="AO84" s="958" t="e">
        <f t="shared" si="91"/>
        <v>#DIV/0!</v>
      </c>
      <c r="AP84" s="958" t="e">
        <f t="shared" si="91"/>
        <v>#DIV/0!</v>
      </c>
      <c r="AQ84" s="958" t="e">
        <f t="shared" si="91"/>
        <v>#DIV/0!</v>
      </c>
      <c r="AR84" s="958" t="e">
        <f t="shared" si="91"/>
        <v>#DIV/0!</v>
      </c>
      <c r="AS84" s="958" t="e">
        <f t="shared" si="91"/>
        <v>#DIV/0!</v>
      </c>
      <c r="AT84" s="958" t="e">
        <f t="shared" si="91"/>
        <v>#DIV/0!</v>
      </c>
      <c r="AU84" s="958" t="e">
        <f t="shared" si="91"/>
        <v>#DIV/0!</v>
      </c>
      <c r="AV84" s="958" t="e">
        <f t="shared" si="91"/>
        <v>#DIV/0!</v>
      </c>
      <c r="AW84" s="958" t="e">
        <f t="shared" si="91"/>
        <v>#DIV/0!</v>
      </c>
      <c r="AX84" s="958" t="e">
        <f t="shared" si="91"/>
        <v>#DIV/0!</v>
      </c>
      <c r="AY84" s="958" t="e">
        <f t="shared" si="91"/>
        <v>#DIV/0!</v>
      </c>
      <c r="AZ84" s="958" t="e">
        <f t="shared" si="91"/>
        <v>#DIV/0!</v>
      </c>
      <c r="BA84" s="958" t="e">
        <f t="shared" si="91"/>
        <v>#DIV/0!</v>
      </c>
      <c r="BB84" s="958" t="e">
        <f t="shared" si="91"/>
        <v>#DIV/0!</v>
      </c>
      <c r="BC84" s="958" t="e">
        <f t="shared" si="91"/>
        <v>#DIV/0!</v>
      </c>
      <c r="BD84" s="958" t="e">
        <f t="shared" si="91"/>
        <v>#DIV/0!</v>
      </c>
      <c r="BE84" s="958" t="e">
        <f t="shared" si="91"/>
        <v>#DIV/0!</v>
      </c>
      <c r="BF84" s="958" t="e">
        <f t="shared" si="91"/>
        <v>#DIV/0!</v>
      </c>
      <c r="BG84" s="958" t="e">
        <f t="shared" si="91"/>
        <v>#DIV/0!</v>
      </c>
      <c r="BH84" s="958" t="e">
        <f t="shared" si="91"/>
        <v>#DIV/0!</v>
      </c>
      <c r="BI84" s="958" t="e">
        <f t="shared" si="91"/>
        <v>#DIV/0!</v>
      </c>
      <c r="BJ84" s="958" t="e">
        <f t="shared" si="91"/>
        <v>#DIV/0!</v>
      </c>
      <c r="BK84" s="958" t="e">
        <f t="shared" si="91"/>
        <v>#DIV/0!</v>
      </c>
      <c r="BL84" s="958" t="e">
        <f t="shared" si="91"/>
        <v>#DIV/0!</v>
      </c>
      <c r="BM84" s="958" t="e">
        <f t="shared" si="91"/>
        <v>#DIV/0!</v>
      </c>
      <c r="BN84" s="958" t="e">
        <f t="shared" si="91"/>
        <v>#DIV/0!</v>
      </c>
      <c r="BO84" s="958" t="e">
        <f t="shared" si="91"/>
        <v>#DIV/0!</v>
      </c>
      <c r="BP84" s="958" t="e">
        <f t="shared" si="91"/>
        <v>#DIV/0!</v>
      </c>
      <c r="BQ84" s="958" t="e">
        <f t="shared" si="91"/>
        <v>#DIV/0!</v>
      </c>
      <c r="BR84" s="958" t="e">
        <f t="shared" si="91"/>
        <v>#DIV/0!</v>
      </c>
      <c r="BS84" s="958" t="e">
        <f t="shared" si="91"/>
        <v>#DIV/0!</v>
      </c>
      <c r="BT84" s="958" t="e">
        <f t="shared" si="91"/>
        <v>#DIV/0!</v>
      </c>
      <c r="BU84" s="958" t="e">
        <f t="shared" si="91"/>
        <v>#DIV/0!</v>
      </c>
      <c r="BV84" s="958" t="e">
        <f t="shared" ref="BV84:CW84" si="92">(BV71-BV83)/BV83</f>
        <v>#DIV/0!</v>
      </c>
      <c r="BW84" s="958" t="e">
        <f t="shared" si="92"/>
        <v>#DIV/0!</v>
      </c>
      <c r="BX84" s="958" t="e">
        <f t="shared" si="92"/>
        <v>#DIV/0!</v>
      </c>
      <c r="BY84" s="958" t="e">
        <f t="shared" si="92"/>
        <v>#DIV/0!</v>
      </c>
      <c r="BZ84" s="958" t="e">
        <f t="shared" si="92"/>
        <v>#DIV/0!</v>
      </c>
      <c r="CA84" s="958" t="e">
        <f t="shared" si="92"/>
        <v>#DIV/0!</v>
      </c>
      <c r="CB84" s="958" t="e">
        <f t="shared" si="92"/>
        <v>#DIV/0!</v>
      </c>
      <c r="CC84" s="958" t="e">
        <f t="shared" si="92"/>
        <v>#DIV/0!</v>
      </c>
      <c r="CD84" s="958" t="e">
        <f t="shared" si="92"/>
        <v>#DIV/0!</v>
      </c>
      <c r="CE84" s="1135" t="e">
        <f t="shared" si="92"/>
        <v>#DIV/0!</v>
      </c>
      <c r="CF84" s="958" t="e">
        <f t="shared" si="92"/>
        <v>#DIV/0!</v>
      </c>
      <c r="CG84" s="958" t="e">
        <f t="shared" si="92"/>
        <v>#DIV/0!</v>
      </c>
      <c r="CH84" s="958" t="e">
        <f t="shared" si="92"/>
        <v>#DIV/0!</v>
      </c>
      <c r="CI84" s="958" t="e">
        <f t="shared" si="92"/>
        <v>#DIV/0!</v>
      </c>
      <c r="CK84" s="958" t="e">
        <f t="shared" si="92"/>
        <v>#DIV/0!</v>
      </c>
      <c r="CL84" s="958" t="e">
        <f t="shared" si="92"/>
        <v>#DIV/0!</v>
      </c>
      <c r="CM84" s="958" t="e">
        <f t="shared" si="92"/>
        <v>#DIV/0!</v>
      </c>
      <c r="CN84" s="958" t="e">
        <f t="shared" si="92"/>
        <v>#DIV/0!</v>
      </c>
      <c r="CO84" s="958" t="e">
        <f t="shared" si="92"/>
        <v>#DIV/0!</v>
      </c>
      <c r="CP84" s="958" t="e">
        <f t="shared" si="92"/>
        <v>#DIV/0!</v>
      </c>
      <c r="CQ84" s="958" t="e">
        <f t="shared" si="92"/>
        <v>#DIV/0!</v>
      </c>
      <c r="CR84" s="958" t="e">
        <f t="shared" si="92"/>
        <v>#DIV/0!</v>
      </c>
      <c r="CS84" s="958" t="e">
        <f t="shared" si="92"/>
        <v>#DIV/0!</v>
      </c>
      <c r="CT84" s="958" t="e">
        <f t="shared" si="92"/>
        <v>#DIV/0!</v>
      </c>
      <c r="CU84" s="958" t="e">
        <f t="shared" si="92"/>
        <v>#DIV/0!</v>
      </c>
      <c r="CV84" s="958" t="e">
        <f t="shared" si="92"/>
        <v>#DIV/0!</v>
      </c>
      <c r="CW84" s="958" t="e">
        <f t="shared" si="92"/>
        <v>#DIV/0!</v>
      </c>
      <c r="CX84" s="782"/>
    </row>
    <row r="85" spans="1:102">
      <c r="CT85" s="180"/>
      <c r="CU85" s="180"/>
    </row>
    <row r="86" spans="1:102">
      <c r="I86" s="193"/>
      <c r="J86" s="193"/>
      <c r="K86" s="193"/>
      <c r="L86" s="544"/>
      <c r="M86" s="544"/>
      <c r="N86" s="544"/>
      <c r="O86" s="544"/>
      <c r="P86" s="193"/>
      <c r="Q86" s="193"/>
      <c r="R86" s="544"/>
      <c r="S86" s="193"/>
      <c r="T86" s="193"/>
      <c r="U86" s="544"/>
      <c r="V86" s="544"/>
      <c r="W86" s="193"/>
      <c r="X86" s="193"/>
      <c r="Y86" s="544"/>
      <c r="Z86" s="544"/>
      <c r="AA86" s="193"/>
      <c r="AB86" s="193"/>
      <c r="AC86" s="544"/>
      <c r="AD86" s="544"/>
      <c r="AE86" s="193"/>
      <c r="AF86" s="193"/>
      <c r="AG86" s="544"/>
      <c r="AH86" s="544"/>
      <c r="AI86" s="193"/>
      <c r="AJ86" s="193"/>
      <c r="AK86" s="544"/>
      <c r="AL86" s="544"/>
      <c r="AM86" s="193"/>
      <c r="AN86" s="193"/>
      <c r="AO86" s="193"/>
      <c r="AP86" s="193"/>
      <c r="AQ86" s="193"/>
      <c r="AR86" s="193"/>
      <c r="AS86" s="193"/>
      <c r="AT86" s="193"/>
      <c r="AU86" s="193"/>
      <c r="AV86" s="193"/>
      <c r="AW86" s="193"/>
      <c r="AX86" s="193"/>
      <c r="AY86" s="193"/>
      <c r="AZ86" s="193"/>
      <c r="BA86" s="193"/>
      <c r="BB86" s="193"/>
      <c r="BC86" s="193"/>
      <c r="BD86" s="193"/>
      <c r="BE86" s="193"/>
      <c r="BF86" s="193"/>
      <c r="BG86" s="193"/>
      <c r="BH86" s="193"/>
      <c r="BI86" s="544"/>
      <c r="BJ86" s="193"/>
      <c r="BK86" s="193"/>
      <c r="BL86" s="193"/>
      <c r="BM86" s="193"/>
      <c r="BN86" s="544"/>
      <c r="BO86" s="193"/>
      <c r="BP86" s="193"/>
      <c r="BQ86" s="193"/>
      <c r="BR86" s="193"/>
      <c r="BS86" s="193"/>
      <c r="BT86" s="193"/>
      <c r="BU86" s="193"/>
      <c r="BV86" s="193"/>
      <c r="BW86" s="350"/>
      <c r="BX86" s="193"/>
      <c r="BY86" s="193"/>
      <c r="BZ86" s="193"/>
      <c r="CA86" s="193"/>
      <c r="CB86" s="193"/>
      <c r="CC86" s="193"/>
      <c r="CD86" s="193"/>
      <c r="CE86" s="193"/>
      <c r="CF86" s="193"/>
      <c r="CG86" s="193"/>
      <c r="CH86" s="193"/>
      <c r="CI86" s="193"/>
      <c r="CK86" s="193"/>
      <c r="CL86" s="193"/>
      <c r="CM86" s="193"/>
      <c r="CN86" s="193"/>
      <c r="CO86" s="193"/>
      <c r="CP86" s="193"/>
      <c r="CQ86" s="193"/>
      <c r="CR86" s="193"/>
      <c r="CS86" s="193"/>
      <c r="CT86" s="193"/>
      <c r="CU86" s="193"/>
    </row>
    <row r="87" spans="1:102">
      <c r="I87" s="193"/>
      <c r="J87" s="193"/>
      <c r="K87" s="193"/>
      <c r="L87" s="193"/>
      <c r="M87" s="193"/>
      <c r="N87" s="193"/>
      <c r="O87" s="193"/>
      <c r="P87" s="193"/>
      <c r="Q87" s="193"/>
      <c r="R87" s="193"/>
      <c r="S87" s="193"/>
      <c r="T87" s="193"/>
      <c r="U87" s="193"/>
      <c r="V87" s="193"/>
      <c r="W87" s="193"/>
      <c r="X87" s="193"/>
      <c r="Y87" s="193"/>
      <c r="Z87" s="193"/>
      <c r="AA87" s="193"/>
      <c r="AB87" s="193"/>
      <c r="AC87" s="193"/>
      <c r="AD87" s="193"/>
      <c r="AE87" s="193"/>
      <c r="AF87" s="193"/>
      <c r="AG87" s="193"/>
      <c r="AH87" s="193"/>
      <c r="AI87" s="193"/>
      <c r="AJ87" s="193"/>
      <c r="AK87" s="193"/>
      <c r="AL87" s="193"/>
      <c r="AM87" s="193"/>
      <c r="AN87" s="193"/>
      <c r="AO87" s="193"/>
      <c r="AP87" s="193"/>
      <c r="AQ87" s="193"/>
      <c r="AR87" s="193"/>
      <c r="AS87" s="193"/>
      <c r="AT87" s="193"/>
      <c r="AU87" s="193"/>
      <c r="AV87" s="193"/>
      <c r="AW87" s="193"/>
      <c r="AX87" s="193"/>
      <c r="AY87" s="193"/>
      <c r="AZ87" s="193"/>
      <c r="BA87" s="193"/>
      <c r="BB87" s="193"/>
      <c r="BC87" s="193"/>
      <c r="BD87" s="193"/>
      <c r="BE87" s="193"/>
      <c r="BF87" s="193"/>
      <c r="BG87" s="193"/>
      <c r="BH87" s="193"/>
      <c r="BI87" s="193"/>
      <c r="BJ87" s="193"/>
      <c r="BK87" s="193"/>
      <c r="BL87" s="193"/>
      <c r="BM87" s="193"/>
      <c r="BN87" s="193"/>
      <c r="BO87" s="193"/>
      <c r="BP87" s="193"/>
      <c r="BQ87" s="193"/>
      <c r="BR87" s="193"/>
      <c r="BS87" s="193"/>
      <c r="BT87" s="193"/>
      <c r="BU87" s="193"/>
      <c r="BV87" s="193"/>
      <c r="BW87" s="350"/>
      <c r="BX87" s="193"/>
      <c r="BY87" s="193"/>
      <c r="BZ87" s="193"/>
      <c r="CA87" s="193"/>
      <c r="CB87" s="193"/>
      <c r="CC87" s="193"/>
      <c r="CD87" s="193"/>
      <c r="CE87" s="193"/>
      <c r="CF87" s="193"/>
      <c r="CG87" s="193"/>
      <c r="CH87" s="193"/>
      <c r="CI87" s="193"/>
      <c r="CK87" s="193"/>
      <c r="CL87" s="193"/>
      <c r="CM87" s="193"/>
      <c r="CN87" s="193"/>
      <c r="CO87" s="193"/>
      <c r="CP87" s="193"/>
      <c r="CQ87" s="193"/>
      <c r="CR87" s="193"/>
      <c r="CS87" s="193"/>
      <c r="CT87" s="193"/>
      <c r="CU87" s="193"/>
      <c r="CV87" s="193"/>
    </row>
    <row r="91" spans="1:102" ht="12.75" customHeight="1"/>
  </sheetData>
  <sheetProtection password="8B2B" sheet="1" objects="1" scenarios="1" formatCells="0" formatColumns="0" formatRows="0"/>
  <mergeCells count="15">
    <mergeCell ref="C32:C33"/>
    <mergeCell ref="C29:C30"/>
    <mergeCell ref="I9:R9"/>
    <mergeCell ref="S9:AL9"/>
    <mergeCell ref="AM9:AP9"/>
    <mergeCell ref="C25:C28"/>
    <mergeCell ref="A8:B8"/>
    <mergeCell ref="BQ9:BR9"/>
    <mergeCell ref="BX9:CD9"/>
    <mergeCell ref="BG9:BK9"/>
    <mergeCell ref="BL9:BP9"/>
    <mergeCell ref="BC9:BE9"/>
    <mergeCell ref="AU9:AX9"/>
    <mergeCell ref="AY9:BB9"/>
    <mergeCell ref="AQ9:AT9"/>
  </mergeCells>
  <phoneticPr fontId="23" type="noConversion"/>
  <dataValidations count="1">
    <dataValidation type="list" allowBlank="1" showInputMessage="1" showErrorMessage="1" sqref="C69">
      <formula1>$B$128:$B$129</formula1>
    </dataValidation>
  </dataValidations>
  <printOptions headings="1"/>
  <pageMargins left="0.31496062992125984" right="0.19685039370078741" top="0.47244094488188981" bottom="0.35433070866141736" header="0.35433070866141736" footer="0.19685039370078741"/>
  <pageSetup paperSize="8" scale="76" fitToWidth="0" orientation="landscape" cellComments="asDisplayed" r:id="rId1"/>
  <headerFooter>
    <oddFooter>&amp;C&amp;8&amp;P / &amp;N&amp;R&amp;8&amp;D/&amp;F/&amp;A/thr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00B050"/>
    <pageSetUpPr fitToPage="1"/>
  </sheetPr>
  <dimension ref="A1:BN156"/>
  <sheetViews>
    <sheetView showGridLines="0" topLeftCell="B1" zoomScale="80" zoomScaleNormal="80" workbookViewId="0">
      <selection activeCell="B7" sqref="B7"/>
    </sheetView>
  </sheetViews>
  <sheetFormatPr baseColWidth="10" defaultColWidth="11.42578125" defaultRowHeight="12.75" outlineLevelCol="1"/>
  <cols>
    <col min="1" max="1" width="6.5703125" style="180" customWidth="1"/>
    <col min="2" max="2" width="72" style="180" customWidth="1"/>
    <col min="3" max="10" width="16.42578125" style="180" customWidth="1"/>
    <col min="11" max="49" width="15.28515625" style="180" customWidth="1" outlineLevel="1"/>
    <col min="50" max="50" width="15.28515625" style="180" customWidth="1"/>
    <col min="51" max="62" width="15.28515625" style="180" customWidth="1" outlineLevel="1"/>
    <col min="63" max="66" width="15.42578125" style="180" customWidth="1"/>
    <col min="67" max="16384" width="11.42578125" style="180"/>
  </cols>
  <sheetData>
    <row r="1" spans="1:63" ht="38.25" customHeight="1">
      <c r="A1" s="303">
        <v>1</v>
      </c>
      <c r="B1" s="1381" t="s">
        <v>1445</v>
      </c>
      <c r="C1" s="1382"/>
      <c r="D1" s="1382"/>
      <c r="E1" s="1382"/>
      <c r="F1" s="1382"/>
      <c r="G1" s="1380">
        <f>'ITAR_K Gesamtansicht'!C3</f>
        <v>0</v>
      </c>
      <c r="H1" s="1380"/>
    </row>
    <row r="2" spans="1:63" ht="56.25" customHeight="1">
      <c r="B2" s="181"/>
      <c r="C2" s="201" t="s">
        <v>92</v>
      </c>
      <c r="D2" s="201" t="s">
        <v>79</v>
      </c>
      <c r="E2" s="201" t="s">
        <v>12</v>
      </c>
      <c r="F2" s="201" t="s">
        <v>80</v>
      </c>
      <c r="G2" s="201" t="s">
        <v>128</v>
      </c>
      <c r="H2" s="201" t="s">
        <v>539</v>
      </c>
      <c r="I2" s="201" t="s">
        <v>540</v>
      </c>
      <c r="J2" s="319" t="s">
        <v>406</v>
      </c>
      <c r="K2" s="201" t="str">
        <f>'ITAR_K Gesamtansicht'!S7</f>
        <v xml:space="preserve">Geriatrische Rehab. 
rein stat. KVG </v>
      </c>
      <c r="L2" s="201" t="str">
        <f>'ITAR_K Gesamtansicht'!T7</f>
        <v xml:space="preserve">Geriatrische Rehab. 
ZV KVG </v>
      </c>
      <c r="M2" s="201" t="str">
        <f>'ITAR_K Gesamtansicht'!U7</f>
        <v xml:space="preserve">Geriatrische Rehab. 
ZMT </v>
      </c>
      <c r="N2" s="201" t="str">
        <f>'ITAR_K Gesamtansicht'!V7</f>
        <v>Geriatrische Rehab. 
ZMT ZV</v>
      </c>
      <c r="O2" s="201" t="str">
        <f>'ITAR_K Gesamtansicht'!W7</f>
        <v xml:space="preserve">Kardiovask. Rehab. 
rein stat. KVG </v>
      </c>
      <c r="P2" s="201" t="str">
        <f>'ITAR_K Gesamtansicht'!X7</f>
        <v xml:space="preserve">Kardiovask. Rehab. 
ZV KVG </v>
      </c>
      <c r="Q2" s="201" t="str">
        <f>'ITAR_K Gesamtansicht'!Y7</f>
        <v xml:space="preserve">Kardiovask. Rehab. 
ZMT </v>
      </c>
      <c r="R2" s="201" t="str">
        <f>'ITAR_K Gesamtansicht'!Z7</f>
        <v>Kardiovask. Rehab. 
ZMT ZV</v>
      </c>
      <c r="S2" s="201" t="str">
        <f>'ITAR_K Gesamtansicht'!AA7</f>
        <v xml:space="preserve">Muskulosk. Rehab. 
rein stat. KVG </v>
      </c>
      <c r="T2" s="201" t="str">
        <f>'ITAR_K Gesamtansicht'!AB7</f>
        <v xml:space="preserve">Muskulosk. Rehab. 
ZV KVG </v>
      </c>
      <c r="U2" s="201" t="str">
        <f>'ITAR_K Gesamtansicht'!AC7</f>
        <v xml:space="preserve">Muskulosk. Rehab. 
ZMT </v>
      </c>
      <c r="V2" s="201" t="str">
        <f>'ITAR_K Gesamtansicht'!AD7</f>
        <v>Muskulosk. Rehab. 
ZMT ZV</v>
      </c>
      <c r="W2" s="201" t="str">
        <f>'ITAR_K Gesamtansicht'!AE7</f>
        <v xml:space="preserve">Neuro. Rehab. 
rein stat. KVG </v>
      </c>
      <c r="X2" s="201" t="str">
        <f>'ITAR_K Gesamtansicht'!AF7</f>
        <v xml:space="preserve">Neuro. Rehab. 
ZV KVG </v>
      </c>
      <c r="Y2" s="201" t="str">
        <f>'ITAR_K Gesamtansicht'!AG7</f>
        <v xml:space="preserve">Neuro. Rehab. 
ZMT </v>
      </c>
      <c r="Z2" s="201" t="str">
        <f>'ITAR_K Gesamtansicht'!AH7</f>
        <v>Neuro. Rehab. 
ZMT ZV</v>
      </c>
      <c r="AA2" s="201" t="str">
        <f>'ITAR_K Gesamtansicht'!AI7</f>
        <v xml:space="preserve">Pulmonale Rehab. 
rein stat. KVG </v>
      </c>
      <c r="AB2" s="201" t="str">
        <f>'ITAR_K Gesamtansicht'!AJ7</f>
        <v xml:space="preserve">Pulmonale Rehab. 
ZV KVG </v>
      </c>
      <c r="AC2" s="201" t="str">
        <f>'ITAR_K Gesamtansicht'!AK7</f>
        <v xml:space="preserve">Pulmonale Rehab. 
ZMT </v>
      </c>
      <c r="AD2" s="201" t="str">
        <f>'ITAR_K Gesamtansicht'!AL7</f>
        <v>Pulmonale Rehab. 
ZMT ZV</v>
      </c>
      <c r="AE2" s="201" t="str">
        <f>'ITAR_K Gesamtansicht'!AM7</f>
        <v xml:space="preserve">Pädiatrische Rehab. 
rein stat. KVG </v>
      </c>
      <c r="AF2" s="201" t="str">
        <f>'ITAR_K Gesamtansicht'!AN7</f>
        <v xml:space="preserve">Pädiatrische Rehab. 
ZV KVG </v>
      </c>
      <c r="AG2" s="201" t="str">
        <f>'ITAR_K Gesamtansicht'!AO7</f>
        <v xml:space="preserve">Pädiatrische Rehab. 
ZMT </v>
      </c>
      <c r="AH2" s="201" t="str">
        <f>'ITAR_K Gesamtansicht'!AP7</f>
        <v>Pädiatrische Rehab. 
ZMT ZV</v>
      </c>
      <c r="AI2" s="201" t="str">
        <f>'ITAR_K Gesamtansicht'!AQ7</f>
        <v>Internistische &amp; Onkologische Rehab. 
Rein stat. KVG</v>
      </c>
      <c r="AJ2" s="201" t="str">
        <f>'ITAR_K Gesamtansicht'!AR7</f>
        <v>Internistische &amp; Onkologische Rehab. 
ZV KVG</v>
      </c>
      <c r="AK2" s="201" t="str">
        <f>'ITAR_K Gesamtansicht'!AS7</f>
        <v>Internistische &amp; Onkologische Rehab. 
ZMT</v>
      </c>
      <c r="AL2" s="201" t="str">
        <f>'ITAR_K Gesamtansicht'!AT7</f>
        <v>Internistische &amp; Onkologische Rehab. 
ZMT ZV</v>
      </c>
      <c r="AM2" s="201" t="str">
        <f>'ITAR_K Gesamtansicht'!AU7</f>
        <v>Paraplegiologische Rehab.
rein stat. KVG</v>
      </c>
      <c r="AN2" s="201" t="str">
        <f>'ITAR_K Gesamtansicht'!AV7</f>
        <v>Paraplegiologische Rehab. ZV KVG</v>
      </c>
      <c r="AO2" s="201" t="str">
        <f>'ITAR_K Gesamtansicht'!AW7</f>
        <v>Paraplegiologische Rehab. 
ZMT</v>
      </c>
      <c r="AP2" s="201" t="str">
        <f>'ITAR_K Gesamtansicht'!AX7</f>
        <v>Paraplegiologische Rehab.
ZMT ZV</v>
      </c>
      <c r="AQ2" s="201" t="str">
        <f>'ITAR_K Gesamtansicht'!AY7</f>
        <v>Psychosomatische Rehab.
rein stat. KVG</v>
      </c>
      <c r="AR2" s="201" t="str">
        <f>'ITAR_K Gesamtansicht'!AZ7</f>
        <v>Psychosomatische Rehab. ZV KVG</v>
      </c>
      <c r="AS2" s="201" t="str">
        <f>'ITAR_K Gesamtansicht'!BA7</f>
        <v>Psychosomatische Rehab. 
ZMT</v>
      </c>
      <c r="AT2" s="201" t="str">
        <f>'ITAR_K Gesamtansicht'!BB7</f>
        <v>Psychosomatische Rehab.
ZMT ZV</v>
      </c>
      <c r="AU2" s="201" t="s">
        <v>128</v>
      </c>
      <c r="AV2" s="201" t="s">
        <v>385</v>
      </c>
      <c r="AW2" s="201" t="s">
        <v>386</v>
      </c>
      <c r="AX2" s="319" t="s">
        <v>407</v>
      </c>
      <c r="AY2" s="201" t="s">
        <v>364</v>
      </c>
      <c r="AZ2" s="201" t="s">
        <v>365</v>
      </c>
      <c r="BA2" s="201" t="s">
        <v>366</v>
      </c>
      <c r="BB2" s="201" t="s">
        <v>367</v>
      </c>
      <c r="BC2" s="201" t="s">
        <v>368</v>
      </c>
      <c r="BD2" s="201" t="s">
        <v>371</v>
      </c>
      <c r="BE2" s="201" t="s">
        <v>372</v>
      </c>
      <c r="BF2" s="201" t="s">
        <v>373</v>
      </c>
      <c r="BG2" s="201" t="s">
        <v>374</v>
      </c>
      <c r="BH2" s="201" t="s">
        <v>375</v>
      </c>
      <c r="BI2" s="201" t="s">
        <v>377</v>
      </c>
      <c r="BJ2" s="201" t="s">
        <v>378</v>
      </c>
      <c r="BK2" s="319" t="s">
        <v>408</v>
      </c>
    </row>
    <row r="3" spans="1:63">
      <c r="B3" s="182" t="s">
        <v>129</v>
      </c>
      <c r="C3" s="183">
        <f>SUM('KTR-Ausweis Gesamtansicht'!I60)</f>
        <v>0</v>
      </c>
      <c r="D3" s="183">
        <f>SUM('KTR-Ausweis Gesamtansicht'!J60)</f>
        <v>0</v>
      </c>
      <c r="E3" s="183">
        <f>SUM('KTR-Ausweis Gesamtansicht'!L60)</f>
        <v>0</v>
      </c>
      <c r="F3" s="183">
        <f>SUM('KTR-Ausweis Gesamtansicht'!M60)</f>
        <v>0</v>
      </c>
      <c r="H3" s="183">
        <f>SUM('KTR-Ausweis Gesamtansicht'!P60)</f>
        <v>0</v>
      </c>
      <c r="I3" s="183">
        <f>SUM('KTR-Ausweis Gesamtansicht'!Q60)</f>
        <v>0</v>
      </c>
      <c r="J3" s="669"/>
      <c r="K3" s="183">
        <f>SUM('KTR-Ausweis Gesamtansicht'!S60)</f>
        <v>0</v>
      </c>
      <c r="L3" s="183">
        <f>SUM('KTR-Ausweis Gesamtansicht'!T60)</f>
        <v>0</v>
      </c>
      <c r="M3" s="183">
        <f>SUM('KTR-Ausweis Gesamtansicht'!U60)</f>
        <v>0</v>
      </c>
      <c r="N3" s="183">
        <f>SUM('KTR-Ausweis Gesamtansicht'!V60)</f>
        <v>0</v>
      </c>
      <c r="O3" s="183">
        <f>SUM('KTR-Ausweis Gesamtansicht'!W60)</f>
        <v>0</v>
      </c>
      <c r="P3" s="183">
        <f>SUM('KTR-Ausweis Gesamtansicht'!X60)</f>
        <v>0</v>
      </c>
      <c r="Q3" s="183">
        <f>SUM('KTR-Ausweis Gesamtansicht'!Y60)</f>
        <v>0</v>
      </c>
      <c r="R3" s="183">
        <f>SUM('KTR-Ausweis Gesamtansicht'!Z60)</f>
        <v>0</v>
      </c>
      <c r="S3" s="183">
        <f>SUM('KTR-Ausweis Gesamtansicht'!AA60)</f>
        <v>0</v>
      </c>
      <c r="T3" s="183">
        <f>SUM('KTR-Ausweis Gesamtansicht'!AB60)</f>
        <v>0</v>
      </c>
      <c r="U3" s="183">
        <f>SUM('KTR-Ausweis Gesamtansicht'!AC60)</f>
        <v>0</v>
      </c>
      <c r="V3" s="183">
        <f>SUM('KTR-Ausweis Gesamtansicht'!AD60)</f>
        <v>0</v>
      </c>
      <c r="W3" s="183">
        <f>SUM('KTR-Ausweis Gesamtansicht'!AE60)</f>
        <v>0</v>
      </c>
      <c r="X3" s="183">
        <f>SUM('KTR-Ausweis Gesamtansicht'!AF60)</f>
        <v>0</v>
      </c>
      <c r="Y3" s="183">
        <f>SUM('KTR-Ausweis Gesamtansicht'!AG60)</f>
        <v>0</v>
      </c>
      <c r="Z3" s="183">
        <f>SUM('KTR-Ausweis Gesamtansicht'!AH60)</f>
        <v>0</v>
      </c>
      <c r="AA3" s="183">
        <f>SUM('KTR-Ausweis Gesamtansicht'!AI60)</f>
        <v>0</v>
      </c>
      <c r="AB3" s="183">
        <f>SUM('KTR-Ausweis Gesamtansicht'!AJ60)</f>
        <v>0</v>
      </c>
      <c r="AC3" s="183">
        <f>SUM('KTR-Ausweis Gesamtansicht'!AK60)</f>
        <v>0</v>
      </c>
      <c r="AD3" s="183">
        <f>SUM('KTR-Ausweis Gesamtansicht'!AL60)</f>
        <v>0</v>
      </c>
      <c r="AE3" s="183">
        <f>SUM('KTR-Ausweis Gesamtansicht'!AM60)</f>
        <v>0</v>
      </c>
      <c r="AF3" s="183">
        <f>SUM('KTR-Ausweis Gesamtansicht'!AN60)</f>
        <v>0</v>
      </c>
      <c r="AG3" s="183">
        <f>SUM('KTR-Ausweis Gesamtansicht'!AO60)</f>
        <v>0</v>
      </c>
      <c r="AH3" s="183">
        <f>SUM('KTR-Ausweis Gesamtansicht'!AP60)</f>
        <v>0</v>
      </c>
      <c r="AI3" s="183">
        <f>SUM('KTR-Ausweis Gesamtansicht'!AQ60)</f>
        <v>0</v>
      </c>
      <c r="AJ3" s="183">
        <f>SUM('KTR-Ausweis Gesamtansicht'!AR60)</f>
        <v>0</v>
      </c>
      <c r="AK3" s="183">
        <f>SUM('KTR-Ausweis Gesamtansicht'!AS60)</f>
        <v>0</v>
      </c>
      <c r="AL3" s="183">
        <f>SUM('KTR-Ausweis Gesamtansicht'!AT60)</f>
        <v>0</v>
      </c>
      <c r="AM3" s="183">
        <f>SUM('KTR-Ausweis Gesamtansicht'!AU60)</f>
        <v>0</v>
      </c>
      <c r="AN3" s="183">
        <f>SUM('KTR-Ausweis Gesamtansicht'!AV60)</f>
        <v>0</v>
      </c>
      <c r="AO3" s="183">
        <f>SUM('KTR-Ausweis Gesamtansicht'!AW60)</f>
        <v>0</v>
      </c>
      <c r="AP3" s="183">
        <f>SUM('KTR-Ausweis Gesamtansicht'!AX60)</f>
        <v>0</v>
      </c>
      <c r="AQ3" s="183">
        <f>SUM('KTR-Ausweis Gesamtansicht'!AY60)</f>
        <v>0</v>
      </c>
      <c r="AR3" s="183">
        <f>SUM('KTR-Ausweis Gesamtansicht'!AZ60)</f>
        <v>0</v>
      </c>
      <c r="AS3" s="183">
        <f>SUM('KTR-Ausweis Gesamtansicht'!BA60)</f>
        <v>0</v>
      </c>
      <c r="AT3" s="183">
        <f>SUM('KTR-Ausweis Gesamtansicht'!BB60)</f>
        <v>0</v>
      </c>
      <c r="AV3" s="183">
        <f>SUM('KTR-Ausweis Gesamtansicht'!BD60)</f>
        <v>0</v>
      </c>
      <c r="AW3" s="183">
        <f>SUM('KTR-Ausweis Gesamtansicht'!BE60)</f>
        <v>0</v>
      </c>
      <c r="AX3" s="669"/>
      <c r="AY3" s="183">
        <f>SUM('KTR-Ausweis Gesamtansicht'!BG60)</f>
        <v>0</v>
      </c>
      <c r="AZ3" s="183">
        <f>SUM('KTR-Ausweis Gesamtansicht'!BH60)</f>
        <v>0</v>
      </c>
      <c r="BA3" s="183">
        <f>SUM('KTR-Ausweis Gesamtansicht'!BI60)</f>
        <v>0</v>
      </c>
      <c r="BB3" s="183">
        <f>SUM('KTR-Ausweis Gesamtansicht'!BJ60)</f>
        <v>0</v>
      </c>
      <c r="BD3" s="183">
        <f>SUM('KTR-Ausweis Gesamtansicht'!BL60)</f>
        <v>0</v>
      </c>
      <c r="BE3" s="183">
        <f>SUM('KTR-Ausweis Gesamtansicht'!BM60)</f>
        <v>0</v>
      </c>
      <c r="BF3" s="183">
        <f>SUM('KTR-Ausweis Gesamtansicht'!BN60)</f>
        <v>0</v>
      </c>
      <c r="BG3" s="183">
        <f>SUM('KTR-Ausweis Gesamtansicht'!BO60)</f>
        <v>0</v>
      </c>
      <c r="BI3" s="183">
        <f>SUM('KTR-Ausweis Gesamtansicht'!BQ60)</f>
        <v>0</v>
      </c>
      <c r="BJ3" s="183">
        <f>SUM('KTR-Ausweis Gesamtansicht'!BR60)</f>
        <v>0</v>
      </c>
      <c r="BK3" s="669"/>
    </row>
    <row r="4" spans="1:63">
      <c r="B4" s="182" t="s">
        <v>130</v>
      </c>
      <c r="C4" s="183">
        <f>SUM('KTR-Ausweis Gesamtansicht'!I61)</f>
        <v>0</v>
      </c>
      <c r="D4" s="183">
        <f>SUM('KTR-Ausweis Gesamtansicht'!J61)</f>
        <v>0</v>
      </c>
      <c r="E4" s="183">
        <f>SUM('KTR-Ausweis Gesamtansicht'!L61)</f>
        <v>0</v>
      </c>
      <c r="F4" s="183">
        <f>SUM('KTR-Ausweis Gesamtansicht'!M61)</f>
        <v>0</v>
      </c>
      <c r="H4" s="183">
        <f>SUM('KTR-Ausweis Gesamtansicht'!P61)</f>
        <v>0</v>
      </c>
      <c r="I4" s="183">
        <f>SUM('KTR-Ausweis Gesamtansicht'!Q61)</f>
        <v>0</v>
      </c>
      <c r="K4" s="183">
        <f>SUM('KTR-Ausweis Gesamtansicht'!S61)</f>
        <v>0</v>
      </c>
      <c r="L4" s="183">
        <f>SUM('KTR-Ausweis Gesamtansicht'!T61)</f>
        <v>0</v>
      </c>
      <c r="M4" s="183">
        <f>SUM('KTR-Ausweis Gesamtansicht'!U61)</f>
        <v>0</v>
      </c>
      <c r="N4" s="183">
        <f>SUM('KTR-Ausweis Gesamtansicht'!V61)</f>
        <v>0</v>
      </c>
      <c r="O4" s="183">
        <f>SUM('KTR-Ausweis Gesamtansicht'!W61)</f>
        <v>0</v>
      </c>
      <c r="P4" s="183">
        <f>SUM('KTR-Ausweis Gesamtansicht'!X61)</f>
        <v>0</v>
      </c>
      <c r="Q4" s="183">
        <f>SUM('KTR-Ausweis Gesamtansicht'!Y61)</f>
        <v>0</v>
      </c>
      <c r="R4" s="183">
        <f>SUM('KTR-Ausweis Gesamtansicht'!Z61)</f>
        <v>0</v>
      </c>
      <c r="S4" s="183">
        <f>SUM('KTR-Ausweis Gesamtansicht'!AA61)</f>
        <v>0</v>
      </c>
      <c r="T4" s="183">
        <f>SUM('KTR-Ausweis Gesamtansicht'!AB61)</f>
        <v>0</v>
      </c>
      <c r="U4" s="183">
        <f>SUM('KTR-Ausweis Gesamtansicht'!AC61)</f>
        <v>0</v>
      </c>
      <c r="V4" s="183">
        <f>SUM('KTR-Ausweis Gesamtansicht'!AD61)</f>
        <v>0</v>
      </c>
      <c r="W4" s="183">
        <f>SUM('KTR-Ausweis Gesamtansicht'!AE61)</f>
        <v>0</v>
      </c>
      <c r="X4" s="183">
        <f>SUM('KTR-Ausweis Gesamtansicht'!AF61)</f>
        <v>0</v>
      </c>
      <c r="Y4" s="183">
        <f>SUM('KTR-Ausweis Gesamtansicht'!AG61)</f>
        <v>0</v>
      </c>
      <c r="Z4" s="183">
        <f>SUM('KTR-Ausweis Gesamtansicht'!AH61)</f>
        <v>0</v>
      </c>
      <c r="AA4" s="183">
        <f>SUM('KTR-Ausweis Gesamtansicht'!AI61)</f>
        <v>0</v>
      </c>
      <c r="AB4" s="183">
        <f>SUM('KTR-Ausweis Gesamtansicht'!AJ61)</f>
        <v>0</v>
      </c>
      <c r="AC4" s="183">
        <f>SUM('KTR-Ausweis Gesamtansicht'!AK61)</f>
        <v>0</v>
      </c>
      <c r="AD4" s="183">
        <f>SUM('KTR-Ausweis Gesamtansicht'!AL61)</f>
        <v>0</v>
      </c>
      <c r="AE4" s="183">
        <f>SUM('KTR-Ausweis Gesamtansicht'!AM61)</f>
        <v>0</v>
      </c>
      <c r="AF4" s="183">
        <f>SUM('KTR-Ausweis Gesamtansicht'!AN61)</f>
        <v>0</v>
      </c>
      <c r="AG4" s="183">
        <f>SUM('KTR-Ausweis Gesamtansicht'!AO61)</f>
        <v>0</v>
      </c>
      <c r="AH4" s="183">
        <f>SUM('KTR-Ausweis Gesamtansicht'!AP61)</f>
        <v>0</v>
      </c>
      <c r="AI4" s="183">
        <f>SUM('KTR-Ausweis Gesamtansicht'!AQ61)</f>
        <v>0</v>
      </c>
      <c r="AJ4" s="183">
        <f>SUM('KTR-Ausweis Gesamtansicht'!AR61)</f>
        <v>0</v>
      </c>
      <c r="AK4" s="183">
        <f>SUM('KTR-Ausweis Gesamtansicht'!AS61)</f>
        <v>0</v>
      </c>
      <c r="AL4" s="183">
        <f>SUM('KTR-Ausweis Gesamtansicht'!AT61)</f>
        <v>0</v>
      </c>
      <c r="AM4" s="183">
        <f>SUM('KTR-Ausweis Gesamtansicht'!AU61)</f>
        <v>0</v>
      </c>
      <c r="AN4" s="183">
        <f>SUM('KTR-Ausweis Gesamtansicht'!AV61)</f>
        <v>0</v>
      </c>
      <c r="AO4" s="183">
        <f>SUM('KTR-Ausweis Gesamtansicht'!AW61)</f>
        <v>0</v>
      </c>
      <c r="AP4" s="183">
        <f>SUM('KTR-Ausweis Gesamtansicht'!AX61)</f>
        <v>0</v>
      </c>
      <c r="AQ4" s="183">
        <f>SUM('KTR-Ausweis Gesamtansicht'!AY61)</f>
        <v>0</v>
      </c>
      <c r="AR4" s="183">
        <f>SUM('KTR-Ausweis Gesamtansicht'!AZ61)</f>
        <v>0</v>
      </c>
      <c r="AS4" s="183">
        <f>SUM('KTR-Ausweis Gesamtansicht'!BA61)</f>
        <v>0</v>
      </c>
      <c r="AT4" s="183">
        <f>SUM('KTR-Ausweis Gesamtansicht'!BB61)</f>
        <v>0</v>
      </c>
      <c r="AV4" s="183">
        <f>SUM('KTR-Ausweis Gesamtansicht'!BD61)</f>
        <v>0</v>
      </c>
      <c r="AW4" s="183">
        <f>SUM('KTR-Ausweis Gesamtansicht'!BE61)</f>
        <v>0</v>
      </c>
      <c r="AY4" s="183">
        <f>SUM('KTR-Ausweis Gesamtansicht'!BG61)</f>
        <v>0</v>
      </c>
      <c r="AZ4" s="183">
        <f>SUM('KTR-Ausweis Gesamtansicht'!BH61)</f>
        <v>0</v>
      </c>
      <c r="BA4" s="183">
        <f>SUM('KTR-Ausweis Gesamtansicht'!BI61)</f>
        <v>0</v>
      </c>
      <c r="BB4" s="183">
        <f>SUM('KTR-Ausweis Gesamtansicht'!BJ61)</f>
        <v>0</v>
      </c>
      <c r="BD4" s="183">
        <f>SUM('KTR-Ausweis Gesamtansicht'!BL61)</f>
        <v>0</v>
      </c>
      <c r="BE4" s="183">
        <f>SUM('KTR-Ausweis Gesamtansicht'!BM61)</f>
        <v>0</v>
      </c>
      <c r="BF4" s="183">
        <f>SUM('KTR-Ausweis Gesamtansicht'!BN61)</f>
        <v>0</v>
      </c>
      <c r="BG4" s="183">
        <f>SUM('KTR-Ausweis Gesamtansicht'!BO61)</f>
        <v>0</v>
      </c>
      <c r="BI4" s="183">
        <f>SUM('KTR-Ausweis Gesamtansicht'!BQ61)</f>
        <v>0</v>
      </c>
      <c r="BJ4" s="183">
        <f>SUM('KTR-Ausweis Gesamtansicht'!BR61)</f>
        <v>0</v>
      </c>
    </row>
    <row r="5" spans="1:63">
      <c r="B5" s="182" t="s">
        <v>166</v>
      </c>
      <c r="C5" s="183">
        <f>SUM('KTR-Ausweis Gesamtansicht'!I62)</f>
        <v>0</v>
      </c>
      <c r="D5" s="183">
        <f>SUM('KTR-Ausweis Gesamtansicht'!J62)</f>
        <v>0</v>
      </c>
      <c r="E5" s="183">
        <f>SUM('KTR-Ausweis Gesamtansicht'!L62)</f>
        <v>0</v>
      </c>
      <c r="F5" s="183">
        <f>SUM('KTR-Ausweis Gesamtansicht'!M62)</f>
        <v>0</v>
      </c>
      <c r="H5" s="183">
        <f>SUM('KTR-Ausweis Gesamtansicht'!P62)</f>
        <v>0</v>
      </c>
      <c r="I5" s="183">
        <f>SUM('KTR-Ausweis Gesamtansicht'!Q62)</f>
        <v>0</v>
      </c>
      <c r="K5" s="183">
        <f>SUM('KTR-Ausweis Gesamtansicht'!S62)</f>
        <v>0</v>
      </c>
      <c r="L5" s="183">
        <f>SUM('KTR-Ausweis Gesamtansicht'!T62)</f>
        <v>0</v>
      </c>
      <c r="M5" s="183">
        <f>SUM('KTR-Ausweis Gesamtansicht'!U62)</f>
        <v>0</v>
      </c>
      <c r="N5" s="183">
        <f>SUM('KTR-Ausweis Gesamtansicht'!V62)</f>
        <v>0</v>
      </c>
      <c r="O5" s="183">
        <f>SUM('KTR-Ausweis Gesamtansicht'!W62)</f>
        <v>0</v>
      </c>
      <c r="P5" s="183">
        <f>SUM('KTR-Ausweis Gesamtansicht'!X62)</f>
        <v>0</v>
      </c>
      <c r="Q5" s="183">
        <f>SUM('KTR-Ausweis Gesamtansicht'!Y62)</f>
        <v>0</v>
      </c>
      <c r="R5" s="183">
        <f>SUM('KTR-Ausweis Gesamtansicht'!Z62)</f>
        <v>0</v>
      </c>
      <c r="S5" s="183">
        <f>SUM('KTR-Ausweis Gesamtansicht'!AA62)</f>
        <v>0</v>
      </c>
      <c r="T5" s="183">
        <f>SUM('KTR-Ausweis Gesamtansicht'!AB62)</f>
        <v>0</v>
      </c>
      <c r="U5" s="183">
        <f>SUM('KTR-Ausweis Gesamtansicht'!AC62)</f>
        <v>0</v>
      </c>
      <c r="V5" s="183">
        <f>SUM('KTR-Ausweis Gesamtansicht'!AD62)</f>
        <v>0</v>
      </c>
      <c r="W5" s="183">
        <f>SUM('KTR-Ausweis Gesamtansicht'!AE62)</f>
        <v>0</v>
      </c>
      <c r="X5" s="183">
        <f>SUM('KTR-Ausweis Gesamtansicht'!AF62)</f>
        <v>0</v>
      </c>
      <c r="Y5" s="183">
        <f>SUM('KTR-Ausweis Gesamtansicht'!AG62)</f>
        <v>0</v>
      </c>
      <c r="Z5" s="183">
        <f>SUM('KTR-Ausweis Gesamtansicht'!AH62)</f>
        <v>0</v>
      </c>
      <c r="AA5" s="183">
        <f>SUM('KTR-Ausweis Gesamtansicht'!AI62)</f>
        <v>0</v>
      </c>
      <c r="AB5" s="183">
        <f>SUM('KTR-Ausweis Gesamtansicht'!AJ62)</f>
        <v>0</v>
      </c>
      <c r="AC5" s="183">
        <f>SUM('KTR-Ausweis Gesamtansicht'!AK62)</f>
        <v>0</v>
      </c>
      <c r="AD5" s="183">
        <f>SUM('KTR-Ausweis Gesamtansicht'!AL62)</f>
        <v>0</v>
      </c>
      <c r="AE5" s="183">
        <f>SUM('KTR-Ausweis Gesamtansicht'!AM62)</f>
        <v>0</v>
      </c>
      <c r="AF5" s="183">
        <f>SUM('KTR-Ausweis Gesamtansicht'!AN62)</f>
        <v>0</v>
      </c>
      <c r="AG5" s="183">
        <f>SUM('KTR-Ausweis Gesamtansicht'!AO62)</f>
        <v>0</v>
      </c>
      <c r="AH5" s="183">
        <f>SUM('KTR-Ausweis Gesamtansicht'!AP62)</f>
        <v>0</v>
      </c>
      <c r="AI5" s="183">
        <f>SUM('KTR-Ausweis Gesamtansicht'!AQ62)</f>
        <v>0</v>
      </c>
      <c r="AJ5" s="183">
        <f>SUM('KTR-Ausweis Gesamtansicht'!AR62)</f>
        <v>0</v>
      </c>
      <c r="AK5" s="183">
        <f>SUM('KTR-Ausweis Gesamtansicht'!AS62)</f>
        <v>0</v>
      </c>
      <c r="AL5" s="183">
        <f>SUM('KTR-Ausweis Gesamtansicht'!AT62)</f>
        <v>0</v>
      </c>
      <c r="AM5" s="183">
        <f>SUM('KTR-Ausweis Gesamtansicht'!AU62)</f>
        <v>0</v>
      </c>
      <c r="AN5" s="183">
        <f>SUM('KTR-Ausweis Gesamtansicht'!AV62)</f>
        <v>0</v>
      </c>
      <c r="AO5" s="183">
        <f>SUM('KTR-Ausweis Gesamtansicht'!AW62)</f>
        <v>0</v>
      </c>
      <c r="AP5" s="183">
        <f>SUM('KTR-Ausweis Gesamtansicht'!AX62)</f>
        <v>0</v>
      </c>
      <c r="AQ5" s="183">
        <f>SUM('KTR-Ausweis Gesamtansicht'!AY62)</f>
        <v>0</v>
      </c>
      <c r="AR5" s="183">
        <f>SUM('KTR-Ausweis Gesamtansicht'!AZ62)</f>
        <v>0</v>
      </c>
      <c r="AS5" s="183">
        <f>SUM('KTR-Ausweis Gesamtansicht'!BA62)</f>
        <v>0</v>
      </c>
      <c r="AT5" s="183">
        <f>SUM('KTR-Ausweis Gesamtansicht'!BB62)</f>
        <v>0</v>
      </c>
      <c r="AV5" s="183">
        <f>SUM('KTR-Ausweis Gesamtansicht'!BD62)</f>
        <v>0</v>
      </c>
      <c r="AW5" s="183">
        <f>SUM('KTR-Ausweis Gesamtansicht'!BE62)</f>
        <v>0</v>
      </c>
      <c r="AY5" s="183">
        <f>SUM('KTR-Ausweis Gesamtansicht'!BG62)</f>
        <v>0</v>
      </c>
      <c r="AZ5" s="183">
        <f>SUM('KTR-Ausweis Gesamtansicht'!BH62)</f>
        <v>0</v>
      </c>
      <c r="BA5" s="183">
        <f>SUM('KTR-Ausweis Gesamtansicht'!BI62)</f>
        <v>0</v>
      </c>
      <c r="BB5" s="183">
        <f>SUM('KTR-Ausweis Gesamtansicht'!BJ62)</f>
        <v>0</v>
      </c>
      <c r="BD5" s="183">
        <f>SUM('KTR-Ausweis Gesamtansicht'!BL62)</f>
        <v>0</v>
      </c>
      <c r="BE5" s="183">
        <f>SUM('KTR-Ausweis Gesamtansicht'!BM62)</f>
        <v>0</v>
      </c>
      <c r="BF5" s="183">
        <f>SUM('KTR-Ausweis Gesamtansicht'!BN62)</f>
        <v>0</v>
      </c>
      <c r="BG5" s="183">
        <f>SUM('KTR-Ausweis Gesamtansicht'!BO62)</f>
        <v>0</v>
      </c>
      <c r="BI5" s="183">
        <f>SUM('KTR-Ausweis Gesamtansicht'!BQ62)</f>
        <v>0</v>
      </c>
      <c r="BJ5" s="183">
        <f>SUM('KTR-Ausweis Gesamtansicht'!BR62)</f>
        <v>0</v>
      </c>
    </row>
    <row r="6" spans="1:63" ht="12.75" customHeight="1">
      <c r="B6" s="184"/>
      <c r="C6" s="185"/>
      <c r="D6" s="185"/>
      <c r="E6" s="185"/>
      <c r="F6" s="185"/>
      <c r="H6" s="185"/>
      <c r="I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5"/>
      <c r="AT6" s="185"/>
      <c r="AV6" s="185"/>
      <c r="AW6" s="185"/>
      <c r="AY6" s="185"/>
      <c r="AZ6" s="185"/>
      <c r="BA6" s="185"/>
      <c r="BB6" s="185"/>
      <c r="BD6" s="185"/>
      <c r="BE6" s="185"/>
      <c r="BF6" s="185"/>
      <c r="BG6" s="185"/>
      <c r="BI6" s="185"/>
      <c r="BJ6" s="185"/>
    </row>
    <row r="7" spans="1:63">
      <c r="B7" s="187" t="s">
        <v>2067</v>
      </c>
      <c r="C7" s="1218"/>
      <c r="D7" s="1218"/>
      <c r="E7" s="1218"/>
      <c r="F7" s="1218"/>
      <c r="G7" s="1219"/>
      <c r="H7" s="1218"/>
      <c r="I7" s="1218"/>
      <c r="J7" s="670">
        <f>SUM(C7:I7)</f>
        <v>0</v>
      </c>
      <c r="K7" s="104">
        <f>'ITAR_K Gesamtansicht'!S36</f>
        <v>0</v>
      </c>
      <c r="L7" s="104">
        <f>'ITAR_K Gesamtansicht'!T36</f>
        <v>0</v>
      </c>
      <c r="M7" s="104">
        <f>'ITAR_K Gesamtansicht'!U36</f>
        <v>0</v>
      </c>
      <c r="N7" s="104">
        <f>'ITAR_K Gesamtansicht'!V36</f>
        <v>0</v>
      </c>
      <c r="O7" s="104">
        <f>'ITAR_K Gesamtansicht'!W36</f>
        <v>0</v>
      </c>
      <c r="P7" s="104">
        <f>'ITAR_K Gesamtansicht'!X36</f>
        <v>0</v>
      </c>
      <c r="Q7" s="104">
        <f>'ITAR_K Gesamtansicht'!Y36</f>
        <v>0</v>
      </c>
      <c r="R7" s="104">
        <f>'ITAR_K Gesamtansicht'!Z36</f>
        <v>0</v>
      </c>
      <c r="S7" s="104">
        <f>'ITAR_K Gesamtansicht'!AA36</f>
        <v>0</v>
      </c>
      <c r="T7" s="104">
        <f>'ITAR_K Gesamtansicht'!AB36</f>
        <v>0</v>
      </c>
      <c r="U7" s="104">
        <f>'ITAR_K Gesamtansicht'!AC36</f>
        <v>0</v>
      </c>
      <c r="V7" s="104">
        <f>'ITAR_K Gesamtansicht'!AD36</f>
        <v>0</v>
      </c>
      <c r="W7" s="104">
        <f>'ITAR_K Gesamtansicht'!AE36</f>
        <v>0</v>
      </c>
      <c r="X7" s="104">
        <f>'ITAR_K Gesamtansicht'!AF36</f>
        <v>0</v>
      </c>
      <c r="Y7" s="104">
        <f>'ITAR_K Gesamtansicht'!AG36</f>
        <v>0</v>
      </c>
      <c r="Z7" s="104">
        <f>'ITAR_K Gesamtansicht'!AH36</f>
        <v>0</v>
      </c>
      <c r="AA7" s="104">
        <f>'ITAR_K Gesamtansicht'!AI36</f>
        <v>0</v>
      </c>
      <c r="AB7" s="104">
        <f>'ITAR_K Gesamtansicht'!AJ36</f>
        <v>0</v>
      </c>
      <c r="AC7" s="104">
        <f>'ITAR_K Gesamtansicht'!AK36</f>
        <v>0</v>
      </c>
      <c r="AD7" s="104">
        <f>'ITAR_K Gesamtansicht'!AL36</f>
        <v>0</v>
      </c>
      <c r="AE7" s="104">
        <f>'ITAR_K Gesamtansicht'!AM36</f>
        <v>0</v>
      </c>
      <c r="AF7" s="104">
        <f>'ITAR_K Gesamtansicht'!AN36</f>
        <v>0</v>
      </c>
      <c r="AG7" s="104">
        <f>'ITAR_K Gesamtansicht'!AO36</f>
        <v>0</v>
      </c>
      <c r="AH7" s="104">
        <f>'ITAR_K Gesamtansicht'!AP36</f>
        <v>0</v>
      </c>
      <c r="AI7" s="104">
        <f>'ITAR_K Gesamtansicht'!AQ36</f>
        <v>0</v>
      </c>
      <c r="AJ7" s="104">
        <f>'ITAR_K Gesamtansicht'!AR36</f>
        <v>0</v>
      </c>
      <c r="AK7" s="104">
        <f>'ITAR_K Gesamtansicht'!AS36</f>
        <v>0</v>
      </c>
      <c r="AL7" s="104">
        <f>'ITAR_K Gesamtansicht'!AT36</f>
        <v>0</v>
      </c>
      <c r="AM7" s="104">
        <f>'ITAR_K Gesamtansicht'!AU36</f>
        <v>0</v>
      </c>
      <c r="AN7" s="104">
        <f>'ITAR_K Gesamtansicht'!AV36</f>
        <v>0</v>
      </c>
      <c r="AO7" s="104">
        <f>'ITAR_K Gesamtansicht'!AW36</f>
        <v>0</v>
      </c>
      <c r="AP7" s="104">
        <f>'ITAR_K Gesamtansicht'!AX36</f>
        <v>0</v>
      </c>
      <c r="AQ7" s="104">
        <f>'ITAR_K Gesamtansicht'!AY36</f>
        <v>0</v>
      </c>
      <c r="AR7" s="104">
        <f>'ITAR_K Gesamtansicht'!AZ36</f>
        <v>0</v>
      </c>
      <c r="AS7" s="104">
        <f>'ITAR_K Gesamtansicht'!BA36</f>
        <v>0</v>
      </c>
      <c r="AT7" s="104">
        <f>'ITAR_K Gesamtansicht'!BB36</f>
        <v>0</v>
      </c>
      <c r="AU7" s="104">
        <f>'ITAR_K Gesamtansicht'!BC36</f>
        <v>0</v>
      </c>
      <c r="AV7" s="104">
        <f>'ITAR_K Gesamtansicht'!BD36</f>
        <v>0</v>
      </c>
      <c r="AW7" s="104">
        <f>'ITAR_K Gesamtansicht'!BE36</f>
        <v>0</v>
      </c>
      <c r="AX7" s="670">
        <f>SUM(K7:AW7)</f>
        <v>0</v>
      </c>
      <c r="AY7" s="104">
        <f>'ITAR_K Gesamtansicht'!BG36</f>
        <v>0</v>
      </c>
      <c r="AZ7" s="104">
        <f>'ITAR_K Gesamtansicht'!BH36</f>
        <v>0</v>
      </c>
      <c r="BA7" s="104">
        <f>'ITAR_K Gesamtansicht'!BI36</f>
        <v>0</v>
      </c>
      <c r="BB7" s="104">
        <f>'ITAR_K Gesamtansicht'!BJ36</f>
        <v>0</v>
      </c>
      <c r="BC7" s="104">
        <f>'ITAR_K Gesamtansicht'!BK36</f>
        <v>0</v>
      </c>
      <c r="BD7" s="104">
        <f>'ITAR_K Gesamtansicht'!BL36</f>
        <v>0</v>
      </c>
      <c r="BE7" s="104">
        <f>'ITAR_K Gesamtansicht'!BM36</f>
        <v>0</v>
      </c>
      <c r="BF7" s="104">
        <f>'ITAR_K Gesamtansicht'!BN36</f>
        <v>0</v>
      </c>
      <c r="BG7" s="104">
        <f>'ITAR_K Gesamtansicht'!BO36</f>
        <v>0</v>
      </c>
      <c r="BH7" s="104">
        <f>'ITAR_K Gesamtansicht'!BP36</f>
        <v>0</v>
      </c>
      <c r="BI7" s="104">
        <f>'ITAR_K Gesamtansicht'!BQ36</f>
        <v>0</v>
      </c>
      <c r="BJ7" s="104">
        <f>'ITAR_K Gesamtansicht'!BR36</f>
        <v>0</v>
      </c>
      <c r="BK7" s="670">
        <f>SUM(AY7:BJ7)</f>
        <v>0</v>
      </c>
    </row>
    <row r="8" spans="1:63">
      <c r="B8" s="186" t="s">
        <v>131</v>
      </c>
      <c r="C8" s="671">
        <f>IF(C7=0,0,C3/C$7)</f>
        <v>0</v>
      </c>
      <c r="D8" s="671">
        <f>IF(D7=0,0,D3/D$7)</f>
        <v>0</v>
      </c>
      <c r="E8" s="671">
        <f>IF(E7=0,0,E3/E$7)</f>
        <v>0</v>
      </c>
      <c r="F8" s="671">
        <f>IF(F7=0,0,F3/F$7)</f>
        <v>0</v>
      </c>
      <c r="H8" s="671">
        <f>IF(H7=0,0,H3/H$7)</f>
        <v>0</v>
      </c>
      <c r="I8" s="671">
        <f>IF(I7=0,0,I3/I$7)</f>
        <v>0</v>
      </c>
      <c r="K8" s="671">
        <f t="shared" ref="K8:AW8" si="0">IF(K7=0,0,K3/K$7)</f>
        <v>0</v>
      </c>
      <c r="L8" s="671">
        <f t="shared" si="0"/>
        <v>0</v>
      </c>
      <c r="M8" s="671">
        <f t="shared" si="0"/>
        <v>0</v>
      </c>
      <c r="N8" s="671">
        <f t="shared" si="0"/>
        <v>0</v>
      </c>
      <c r="O8" s="671">
        <f t="shared" si="0"/>
        <v>0</v>
      </c>
      <c r="P8" s="671">
        <f t="shared" si="0"/>
        <v>0</v>
      </c>
      <c r="Q8" s="671">
        <f t="shared" si="0"/>
        <v>0</v>
      </c>
      <c r="R8" s="671">
        <f t="shared" si="0"/>
        <v>0</v>
      </c>
      <c r="S8" s="671">
        <f t="shared" si="0"/>
        <v>0</v>
      </c>
      <c r="T8" s="671">
        <f t="shared" si="0"/>
        <v>0</v>
      </c>
      <c r="U8" s="671">
        <f t="shared" si="0"/>
        <v>0</v>
      </c>
      <c r="V8" s="671">
        <f t="shared" si="0"/>
        <v>0</v>
      </c>
      <c r="W8" s="671">
        <f t="shared" si="0"/>
        <v>0</v>
      </c>
      <c r="X8" s="671">
        <f t="shared" si="0"/>
        <v>0</v>
      </c>
      <c r="Y8" s="671">
        <f t="shared" si="0"/>
        <v>0</v>
      </c>
      <c r="Z8" s="671">
        <f t="shared" si="0"/>
        <v>0</v>
      </c>
      <c r="AA8" s="671">
        <f t="shared" si="0"/>
        <v>0</v>
      </c>
      <c r="AB8" s="671">
        <f t="shared" si="0"/>
        <v>0</v>
      </c>
      <c r="AC8" s="671">
        <f t="shared" si="0"/>
        <v>0</v>
      </c>
      <c r="AD8" s="671">
        <f t="shared" si="0"/>
        <v>0</v>
      </c>
      <c r="AE8" s="671">
        <f t="shared" si="0"/>
        <v>0</v>
      </c>
      <c r="AF8" s="671">
        <f t="shared" si="0"/>
        <v>0</v>
      </c>
      <c r="AG8" s="671">
        <f t="shared" si="0"/>
        <v>0</v>
      </c>
      <c r="AH8" s="671">
        <f t="shared" si="0"/>
        <v>0</v>
      </c>
      <c r="AI8" s="671">
        <f t="shared" ref="AI8:AL8" si="1">IF(AI7=0,0,AI3/AI$7)</f>
        <v>0</v>
      </c>
      <c r="AJ8" s="671">
        <f t="shared" si="1"/>
        <v>0</v>
      </c>
      <c r="AK8" s="671">
        <f t="shared" si="1"/>
        <v>0</v>
      </c>
      <c r="AL8" s="671">
        <f t="shared" si="1"/>
        <v>0</v>
      </c>
      <c r="AM8" s="671">
        <f t="shared" ref="AM8:AT8" si="2">IF(AM7=0,0,AM3/AM$7)</f>
        <v>0</v>
      </c>
      <c r="AN8" s="671">
        <f t="shared" si="2"/>
        <v>0</v>
      </c>
      <c r="AO8" s="671">
        <f t="shared" si="2"/>
        <v>0</v>
      </c>
      <c r="AP8" s="671">
        <f t="shared" si="2"/>
        <v>0</v>
      </c>
      <c r="AQ8" s="671">
        <f t="shared" si="2"/>
        <v>0</v>
      </c>
      <c r="AR8" s="671">
        <f t="shared" si="2"/>
        <v>0</v>
      </c>
      <c r="AS8" s="671">
        <f t="shared" si="2"/>
        <v>0</v>
      </c>
      <c r="AT8" s="671">
        <f t="shared" si="2"/>
        <v>0</v>
      </c>
      <c r="AV8" s="671">
        <f t="shared" si="0"/>
        <v>0</v>
      </c>
      <c r="AW8" s="671">
        <f t="shared" si="0"/>
        <v>0</v>
      </c>
      <c r="AY8" s="671">
        <f>IF(AY7=0,0,AY3/AY$7)</f>
        <v>0</v>
      </c>
      <c r="AZ8" s="671">
        <f>IF(AZ7=0,0,AZ3/AZ$7)</f>
        <v>0</v>
      </c>
      <c r="BA8" s="671">
        <f>IF(BA7=0,0,BA3/BA$7)</f>
        <v>0</v>
      </c>
      <c r="BB8" s="671">
        <f>IF(BB7=0,0,BB3/BB$7)</f>
        <v>0</v>
      </c>
      <c r="BD8" s="671">
        <f>IF(BD7=0,0,BD3/BD$7)</f>
        <v>0</v>
      </c>
      <c r="BE8" s="671">
        <f>IF(BE7=0,0,BE3/BE$7)</f>
        <v>0</v>
      </c>
      <c r="BF8" s="671">
        <f>IF(BF7=0,0,BF3/BF$7)</f>
        <v>0</v>
      </c>
      <c r="BG8" s="671">
        <f>IF(BG7=0,0,BG3/BG$7)</f>
        <v>0</v>
      </c>
      <c r="BI8" s="671">
        <f>IF(BI7=0,0,BI3/BI$7)</f>
        <v>0</v>
      </c>
      <c r="BJ8" s="671">
        <f>IF(BJ7=0,0,BJ3/BJ$7)</f>
        <v>0</v>
      </c>
    </row>
    <row r="9" spans="1:63">
      <c r="B9" s="186" t="s">
        <v>132</v>
      </c>
      <c r="C9" s="671">
        <f>IF(C7=0,0,C4/C$7)</f>
        <v>0</v>
      </c>
      <c r="D9" s="671">
        <f>IF(D7=0,0,D4/D$7)</f>
        <v>0</v>
      </c>
      <c r="E9" s="671">
        <f>IF(E7=0,0,E4/E$7)</f>
        <v>0</v>
      </c>
      <c r="F9" s="671">
        <f>IF(F7=0,0,F4/F$7)</f>
        <v>0</v>
      </c>
      <c r="H9" s="671">
        <f>IF(H7=0,0,H4/H$7)</f>
        <v>0</v>
      </c>
      <c r="I9" s="671">
        <f>IF(I7=0,0,I4/I$7)</f>
        <v>0</v>
      </c>
      <c r="K9" s="671">
        <f t="shared" ref="K9:AW9" si="3">IF(K7=0,0,K4/K$7)</f>
        <v>0</v>
      </c>
      <c r="L9" s="671">
        <f t="shared" si="3"/>
        <v>0</v>
      </c>
      <c r="M9" s="671">
        <f t="shared" si="3"/>
        <v>0</v>
      </c>
      <c r="N9" s="671">
        <f t="shared" si="3"/>
        <v>0</v>
      </c>
      <c r="O9" s="671">
        <f t="shared" si="3"/>
        <v>0</v>
      </c>
      <c r="P9" s="671">
        <f t="shared" si="3"/>
        <v>0</v>
      </c>
      <c r="Q9" s="671">
        <f t="shared" si="3"/>
        <v>0</v>
      </c>
      <c r="R9" s="671">
        <f t="shared" si="3"/>
        <v>0</v>
      </c>
      <c r="S9" s="671">
        <f t="shared" si="3"/>
        <v>0</v>
      </c>
      <c r="T9" s="671">
        <f t="shared" si="3"/>
        <v>0</v>
      </c>
      <c r="U9" s="671">
        <f t="shared" si="3"/>
        <v>0</v>
      </c>
      <c r="V9" s="671">
        <f t="shared" si="3"/>
        <v>0</v>
      </c>
      <c r="W9" s="671">
        <f t="shared" si="3"/>
        <v>0</v>
      </c>
      <c r="X9" s="671">
        <f t="shared" si="3"/>
        <v>0</v>
      </c>
      <c r="Y9" s="671">
        <f t="shared" si="3"/>
        <v>0</v>
      </c>
      <c r="Z9" s="671">
        <f t="shared" si="3"/>
        <v>0</v>
      </c>
      <c r="AA9" s="671">
        <f t="shared" si="3"/>
        <v>0</v>
      </c>
      <c r="AB9" s="671">
        <f t="shared" si="3"/>
        <v>0</v>
      </c>
      <c r="AC9" s="671">
        <f t="shared" si="3"/>
        <v>0</v>
      </c>
      <c r="AD9" s="671">
        <f t="shared" si="3"/>
        <v>0</v>
      </c>
      <c r="AE9" s="671">
        <f t="shared" si="3"/>
        <v>0</v>
      </c>
      <c r="AF9" s="671">
        <f t="shared" si="3"/>
        <v>0</v>
      </c>
      <c r="AG9" s="671">
        <f t="shared" si="3"/>
        <v>0</v>
      </c>
      <c r="AH9" s="671">
        <f t="shared" si="3"/>
        <v>0</v>
      </c>
      <c r="AI9" s="671">
        <f t="shared" ref="AI9:AL9" si="4">IF(AI7=0,0,AI4/AI$7)</f>
        <v>0</v>
      </c>
      <c r="AJ9" s="671">
        <f t="shared" si="4"/>
        <v>0</v>
      </c>
      <c r="AK9" s="671">
        <f t="shared" si="4"/>
        <v>0</v>
      </c>
      <c r="AL9" s="671">
        <f t="shared" si="4"/>
        <v>0</v>
      </c>
      <c r="AM9" s="671">
        <f t="shared" ref="AM9:AT9" si="5">IF(AM7=0,0,AM4/AM$7)</f>
        <v>0</v>
      </c>
      <c r="AN9" s="671">
        <f t="shared" si="5"/>
        <v>0</v>
      </c>
      <c r="AO9" s="671">
        <f t="shared" si="5"/>
        <v>0</v>
      </c>
      <c r="AP9" s="671">
        <f t="shared" si="5"/>
        <v>0</v>
      </c>
      <c r="AQ9" s="671">
        <f t="shared" si="5"/>
        <v>0</v>
      </c>
      <c r="AR9" s="671">
        <f t="shared" si="5"/>
        <v>0</v>
      </c>
      <c r="AS9" s="671">
        <f t="shared" si="5"/>
        <v>0</v>
      </c>
      <c r="AT9" s="671">
        <f t="shared" si="5"/>
        <v>0</v>
      </c>
      <c r="AV9" s="671">
        <f t="shared" si="3"/>
        <v>0</v>
      </c>
      <c r="AW9" s="671">
        <f t="shared" si="3"/>
        <v>0</v>
      </c>
      <c r="AY9" s="671">
        <f>IF(AY7=0,0,AY4/AY$7)</f>
        <v>0</v>
      </c>
      <c r="AZ9" s="671">
        <f>IF(AZ7=0,0,AZ4/AZ$7)</f>
        <v>0</v>
      </c>
      <c r="BA9" s="671">
        <f>IF(BA7=0,0,BA4/BA$7)</f>
        <v>0</v>
      </c>
      <c r="BB9" s="671">
        <f>IF(BB7=0,0,BB4/BB$7)</f>
        <v>0</v>
      </c>
      <c r="BD9" s="671">
        <f>IF(BD7=0,0,BD4/BD$7)</f>
        <v>0</v>
      </c>
      <c r="BE9" s="671">
        <f>IF(BE7=0,0,BE4/BE$7)</f>
        <v>0</v>
      </c>
      <c r="BF9" s="671">
        <f>IF(BF7=0,0,BF4/BF$7)</f>
        <v>0</v>
      </c>
      <c r="BG9" s="671">
        <f>IF(BG7=0,0,BG4/BG$7)</f>
        <v>0</v>
      </c>
      <c r="BI9" s="671">
        <f>IF(BI7=0,0,BI4/BI$7)</f>
        <v>0</v>
      </c>
      <c r="BJ9" s="671">
        <f>IF(BJ7=0,0,BJ4/BJ$7)</f>
        <v>0</v>
      </c>
    </row>
    <row r="10" spans="1:63">
      <c r="B10" s="186" t="s">
        <v>552</v>
      </c>
      <c r="C10" s="671">
        <f>IF(C7=0,0,C5/C$7)</f>
        <v>0</v>
      </c>
      <c r="D10" s="671">
        <f>IF(D7=0,0,D5/D$7)</f>
        <v>0</v>
      </c>
      <c r="E10" s="671">
        <f>IF(E7=0,0,E5/E$7)</f>
        <v>0</v>
      </c>
      <c r="F10" s="671">
        <f>IF(F7=0,0,F5/F$7)</f>
        <v>0</v>
      </c>
      <c r="H10" s="671">
        <f>IF(H7=0,0,H5/H$7)</f>
        <v>0</v>
      </c>
      <c r="I10" s="671">
        <f>IF(I7=0,0,I5/I$7)</f>
        <v>0</v>
      </c>
      <c r="K10" s="671">
        <f t="shared" ref="K10:AW10" si="6">IF(K7=0,0,K5/K$7)</f>
        <v>0</v>
      </c>
      <c r="L10" s="671">
        <f t="shared" si="6"/>
        <v>0</v>
      </c>
      <c r="M10" s="671">
        <f t="shared" si="6"/>
        <v>0</v>
      </c>
      <c r="N10" s="671">
        <f t="shared" si="6"/>
        <v>0</v>
      </c>
      <c r="O10" s="671">
        <f t="shared" si="6"/>
        <v>0</v>
      </c>
      <c r="P10" s="671">
        <f t="shared" si="6"/>
        <v>0</v>
      </c>
      <c r="Q10" s="671">
        <f t="shared" si="6"/>
        <v>0</v>
      </c>
      <c r="R10" s="671">
        <f t="shared" si="6"/>
        <v>0</v>
      </c>
      <c r="S10" s="671">
        <f t="shared" si="6"/>
        <v>0</v>
      </c>
      <c r="T10" s="671">
        <f t="shared" si="6"/>
        <v>0</v>
      </c>
      <c r="U10" s="671">
        <f t="shared" si="6"/>
        <v>0</v>
      </c>
      <c r="V10" s="671">
        <f t="shared" si="6"/>
        <v>0</v>
      </c>
      <c r="W10" s="671">
        <f t="shared" si="6"/>
        <v>0</v>
      </c>
      <c r="X10" s="671">
        <f t="shared" si="6"/>
        <v>0</v>
      </c>
      <c r="Y10" s="671">
        <f t="shared" si="6"/>
        <v>0</v>
      </c>
      <c r="Z10" s="671">
        <f t="shared" si="6"/>
        <v>0</v>
      </c>
      <c r="AA10" s="671">
        <f t="shared" si="6"/>
        <v>0</v>
      </c>
      <c r="AB10" s="671">
        <f t="shared" si="6"/>
        <v>0</v>
      </c>
      <c r="AC10" s="671">
        <f t="shared" si="6"/>
        <v>0</v>
      </c>
      <c r="AD10" s="671">
        <f t="shared" si="6"/>
        <v>0</v>
      </c>
      <c r="AE10" s="671">
        <f t="shared" si="6"/>
        <v>0</v>
      </c>
      <c r="AF10" s="671">
        <f t="shared" si="6"/>
        <v>0</v>
      </c>
      <c r="AG10" s="671">
        <f t="shared" si="6"/>
        <v>0</v>
      </c>
      <c r="AH10" s="671">
        <f t="shared" si="6"/>
        <v>0</v>
      </c>
      <c r="AI10" s="671">
        <f t="shared" ref="AI10:AL10" si="7">IF(AI7=0,0,AI5/AI$7)</f>
        <v>0</v>
      </c>
      <c r="AJ10" s="671">
        <f t="shared" si="7"/>
        <v>0</v>
      </c>
      <c r="AK10" s="671">
        <f t="shared" si="7"/>
        <v>0</v>
      </c>
      <c r="AL10" s="671">
        <f t="shared" si="7"/>
        <v>0</v>
      </c>
      <c r="AM10" s="671">
        <f t="shared" ref="AM10:AT10" si="8">IF(AM7=0,0,AM5/AM$7)</f>
        <v>0</v>
      </c>
      <c r="AN10" s="671">
        <f t="shared" si="8"/>
        <v>0</v>
      </c>
      <c r="AO10" s="671">
        <f t="shared" si="8"/>
        <v>0</v>
      </c>
      <c r="AP10" s="671">
        <f t="shared" si="8"/>
        <v>0</v>
      </c>
      <c r="AQ10" s="671">
        <f t="shared" si="8"/>
        <v>0</v>
      </c>
      <c r="AR10" s="671">
        <f t="shared" si="8"/>
        <v>0</v>
      </c>
      <c r="AS10" s="671">
        <f t="shared" si="8"/>
        <v>0</v>
      </c>
      <c r="AT10" s="671">
        <f t="shared" si="8"/>
        <v>0</v>
      </c>
      <c r="AV10" s="671">
        <f t="shared" si="6"/>
        <v>0</v>
      </c>
      <c r="AW10" s="671">
        <f t="shared" si="6"/>
        <v>0</v>
      </c>
      <c r="AY10" s="671">
        <f>IF(AY7=0,0,AY5/AY$7)</f>
        <v>0</v>
      </c>
      <c r="AZ10" s="671">
        <f>IF(AZ7=0,0,AZ5/AZ$7)</f>
        <v>0</v>
      </c>
      <c r="BA10" s="671">
        <f>IF(BA7=0,0,BA5/BA$7)</f>
        <v>0</v>
      </c>
      <c r="BB10" s="671">
        <f>IF(BB7=0,0,BB5/BB$7)</f>
        <v>0</v>
      </c>
      <c r="BD10" s="671">
        <f>IF(BD7=0,0,BD5/BD$7)</f>
        <v>0</v>
      </c>
      <c r="BE10" s="671">
        <f>IF(BE7=0,0,BE5/BE$7)</f>
        <v>0</v>
      </c>
      <c r="BF10" s="671">
        <f>IF(BF7=0,0,BF5/BF$7)</f>
        <v>0</v>
      </c>
      <c r="BG10" s="671">
        <f>IF(BG7=0,0,BG5/BG$7)</f>
        <v>0</v>
      </c>
      <c r="BI10" s="671">
        <f>IF(BI7=0,0,BI5/BI$7)</f>
        <v>0</v>
      </c>
      <c r="BJ10" s="671">
        <f>IF(BJ7=0,0,BJ5/BJ$7)</f>
        <v>0</v>
      </c>
    </row>
    <row r="11" spans="1:63">
      <c r="B11" s="187" t="s">
        <v>133</v>
      </c>
      <c r="C11" s="672">
        <f>IF(C7=0,0,SUM(C3:C5)/C7)</f>
        <v>0</v>
      </c>
      <c r="D11" s="672">
        <f>IF(D7=0,0,SUM(D3:D5)/D7)</f>
        <v>0</v>
      </c>
      <c r="E11" s="672">
        <f>IF(E7=0,0,SUM(E3:E5)/E7)</f>
        <v>0</v>
      </c>
      <c r="F11" s="672">
        <f>IF(F7=0,0,SUM(F3:F5)/F7)</f>
        <v>0</v>
      </c>
      <c r="H11" s="672">
        <f>IF(H7=0,0,SUM(H3:H5)/H7)</f>
        <v>0</v>
      </c>
      <c r="I11" s="672">
        <f>IF(I7=0,0,SUM(I3:I5)/I7)</f>
        <v>0</v>
      </c>
      <c r="K11" s="672">
        <f t="shared" ref="K11:AW11" si="9">IF(K7=0,0,SUM(K3:K5)/K7)</f>
        <v>0</v>
      </c>
      <c r="L11" s="672">
        <f t="shared" si="9"/>
        <v>0</v>
      </c>
      <c r="M11" s="672">
        <f t="shared" si="9"/>
        <v>0</v>
      </c>
      <c r="N11" s="672">
        <f t="shared" si="9"/>
        <v>0</v>
      </c>
      <c r="O11" s="672">
        <f t="shared" si="9"/>
        <v>0</v>
      </c>
      <c r="P11" s="672">
        <f t="shared" si="9"/>
        <v>0</v>
      </c>
      <c r="Q11" s="672">
        <f t="shared" si="9"/>
        <v>0</v>
      </c>
      <c r="R11" s="672">
        <f t="shared" si="9"/>
        <v>0</v>
      </c>
      <c r="S11" s="672">
        <f t="shared" si="9"/>
        <v>0</v>
      </c>
      <c r="T11" s="672">
        <f t="shared" si="9"/>
        <v>0</v>
      </c>
      <c r="U11" s="672">
        <f t="shared" si="9"/>
        <v>0</v>
      </c>
      <c r="V11" s="672">
        <f t="shared" si="9"/>
        <v>0</v>
      </c>
      <c r="W11" s="672">
        <f t="shared" si="9"/>
        <v>0</v>
      </c>
      <c r="X11" s="672">
        <f t="shared" si="9"/>
        <v>0</v>
      </c>
      <c r="Y11" s="672">
        <f t="shared" si="9"/>
        <v>0</v>
      </c>
      <c r="Z11" s="672">
        <f t="shared" si="9"/>
        <v>0</v>
      </c>
      <c r="AA11" s="672">
        <f t="shared" si="9"/>
        <v>0</v>
      </c>
      <c r="AB11" s="672">
        <f t="shared" si="9"/>
        <v>0</v>
      </c>
      <c r="AC11" s="672">
        <f t="shared" si="9"/>
        <v>0</v>
      </c>
      <c r="AD11" s="672">
        <f t="shared" si="9"/>
        <v>0</v>
      </c>
      <c r="AE11" s="672">
        <f t="shared" si="9"/>
        <v>0</v>
      </c>
      <c r="AF11" s="672">
        <f t="shared" si="9"/>
        <v>0</v>
      </c>
      <c r="AG11" s="672">
        <f t="shared" si="9"/>
        <v>0</v>
      </c>
      <c r="AH11" s="672">
        <f t="shared" si="9"/>
        <v>0</v>
      </c>
      <c r="AI11" s="672">
        <f t="shared" ref="AI11:AL11" si="10">IF(AI7=0,0,SUM(AI3:AI5)/AI7)</f>
        <v>0</v>
      </c>
      <c r="AJ11" s="672">
        <f t="shared" si="10"/>
        <v>0</v>
      </c>
      <c r="AK11" s="672">
        <f t="shared" si="10"/>
        <v>0</v>
      </c>
      <c r="AL11" s="672">
        <f t="shared" si="10"/>
        <v>0</v>
      </c>
      <c r="AM11" s="672">
        <f t="shared" ref="AM11:AT11" si="11">IF(AM7=0,0,SUM(AM3:AM5)/AM7)</f>
        <v>0</v>
      </c>
      <c r="AN11" s="672">
        <f t="shared" si="11"/>
        <v>0</v>
      </c>
      <c r="AO11" s="672">
        <f t="shared" si="11"/>
        <v>0</v>
      </c>
      <c r="AP11" s="672">
        <f t="shared" si="11"/>
        <v>0</v>
      </c>
      <c r="AQ11" s="672">
        <f t="shared" si="11"/>
        <v>0</v>
      </c>
      <c r="AR11" s="672">
        <f t="shared" si="11"/>
        <v>0</v>
      </c>
      <c r="AS11" s="672">
        <f t="shared" si="11"/>
        <v>0</v>
      </c>
      <c r="AT11" s="672">
        <f t="shared" si="11"/>
        <v>0</v>
      </c>
      <c r="AV11" s="672">
        <f t="shared" si="9"/>
        <v>0</v>
      </c>
      <c r="AW11" s="672">
        <f t="shared" si="9"/>
        <v>0</v>
      </c>
      <c r="AY11" s="672">
        <f>IF(AY7=0,0,SUM(AY3:AY5)/AY7)</f>
        <v>0</v>
      </c>
      <c r="AZ11" s="672">
        <f>IF(AZ7=0,0,SUM(AZ3:AZ5)/AZ7)</f>
        <v>0</v>
      </c>
      <c r="BA11" s="672">
        <f>IF(BA7=0,0,SUM(BA3:BA5)/BA7)</f>
        <v>0</v>
      </c>
      <c r="BB11" s="672">
        <f>IF(BB7=0,0,SUM(BB3:BB5)/BB7)</f>
        <v>0</v>
      </c>
      <c r="BD11" s="672">
        <f>IF(BD7=0,0,SUM(BD3:BD5)/BD7)</f>
        <v>0</v>
      </c>
      <c r="BE11" s="672">
        <f>IF(BE7=0,0,SUM(BE3:BE5)/BE7)</f>
        <v>0</v>
      </c>
      <c r="BF11" s="672">
        <f>IF(BF7=0,0,SUM(BF3:BF5)/BF7)</f>
        <v>0</v>
      </c>
      <c r="BG11" s="672">
        <f>IF(BG7=0,0,SUM(BG3:BG5)/BG7)</f>
        <v>0</v>
      </c>
      <c r="BI11" s="672">
        <f>IF(BI7=0,0,SUM(BI3:BI5)/BI7)</f>
        <v>0</v>
      </c>
      <c r="BJ11" s="672">
        <f>IF(BJ7=0,0,SUM(BJ3:BJ5)/BJ7)</f>
        <v>0</v>
      </c>
    </row>
    <row r="12" spans="1:63">
      <c r="B12" s="188" t="s">
        <v>154</v>
      </c>
      <c r="C12" s="189"/>
      <c r="D12" s="190">
        <f>D11-C11</f>
        <v>0</v>
      </c>
      <c r="E12" s="189"/>
      <c r="F12" s="190">
        <f>F11-E11</f>
        <v>0</v>
      </c>
      <c r="H12" s="189"/>
      <c r="I12" s="190">
        <f>I11-H11</f>
        <v>0</v>
      </c>
      <c r="K12" s="189"/>
      <c r="L12" s="190">
        <f>L11-K11</f>
        <v>0</v>
      </c>
      <c r="M12" s="189"/>
      <c r="N12" s="190">
        <f>N11-M11</f>
        <v>0</v>
      </c>
      <c r="O12" s="189"/>
      <c r="P12" s="190">
        <f>P11-O11</f>
        <v>0</v>
      </c>
      <c r="Q12" s="189"/>
      <c r="R12" s="190">
        <f>R11-Q11</f>
        <v>0</v>
      </c>
      <c r="S12" s="189"/>
      <c r="T12" s="190">
        <f>T11-S11</f>
        <v>0</v>
      </c>
      <c r="U12" s="189"/>
      <c r="V12" s="190">
        <f>V11-U11</f>
        <v>0</v>
      </c>
      <c r="W12" s="189"/>
      <c r="X12" s="190">
        <f>X11-W11</f>
        <v>0</v>
      </c>
      <c r="Y12" s="189"/>
      <c r="Z12" s="190">
        <f>Z11-Y11</f>
        <v>0</v>
      </c>
      <c r="AA12" s="189"/>
      <c r="AB12" s="190">
        <f>AB11-AA11</f>
        <v>0</v>
      </c>
      <c r="AC12" s="189"/>
      <c r="AD12" s="190">
        <f>AD11-AC11</f>
        <v>0</v>
      </c>
      <c r="AE12" s="189"/>
      <c r="AF12" s="190">
        <f>AF11-AE11</f>
        <v>0</v>
      </c>
      <c r="AG12" s="189"/>
      <c r="AH12" s="190">
        <f>AH11-AG11</f>
        <v>0</v>
      </c>
      <c r="AI12" s="189"/>
      <c r="AJ12" s="190">
        <f t="shared" ref="AJ12" si="12">AJ11-AI11</f>
        <v>0</v>
      </c>
      <c r="AK12" s="189"/>
      <c r="AL12" s="190">
        <f t="shared" ref="AL12" si="13">AL11-AK11</f>
        <v>0</v>
      </c>
      <c r="AM12" s="189"/>
      <c r="AN12" s="190">
        <f t="shared" ref="AN12" si="14">AN11-AM11</f>
        <v>0</v>
      </c>
      <c r="AO12" s="189"/>
      <c r="AP12" s="190">
        <f t="shared" ref="AP12" si="15">AP11-AO11</f>
        <v>0</v>
      </c>
      <c r="AQ12" s="189"/>
      <c r="AR12" s="190">
        <f t="shared" ref="AR12" si="16">AR11-AQ11</f>
        <v>0</v>
      </c>
      <c r="AS12" s="189"/>
      <c r="AT12" s="190">
        <f t="shared" ref="AT12" si="17">AT11-AS11</f>
        <v>0</v>
      </c>
      <c r="AV12" s="189"/>
      <c r="AW12" s="190">
        <f>AW11-AV11</f>
        <v>0</v>
      </c>
      <c r="AY12" s="189"/>
      <c r="AZ12" s="190">
        <f>AZ11-AY11</f>
        <v>0</v>
      </c>
      <c r="BA12" s="189"/>
      <c r="BB12" s="190">
        <f>BB11-BA11</f>
        <v>0</v>
      </c>
      <c r="BD12" s="189"/>
      <c r="BE12" s="190">
        <f>BE11-BD11</f>
        <v>0</v>
      </c>
      <c r="BF12" s="189"/>
      <c r="BG12" s="190">
        <f>BG11-BF11</f>
        <v>0</v>
      </c>
      <c r="BI12" s="189"/>
      <c r="BJ12" s="190">
        <f>BJ11-BI11</f>
        <v>0</v>
      </c>
    </row>
    <row r="13" spans="1:63">
      <c r="B13" s="187" t="s">
        <v>599</v>
      </c>
      <c r="C13" s="104">
        <f>'ITAR_K Gesamtansicht'!I37</f>
        <v>0</v>
      </c>
      <c r="D13" s="104">
        <f>'ITAR_K Gesamtansicht'!J37</f>
        <v>0</v>
      </c>
      <c r="E13" s="104">
        <f>'ITAR_K Gesamtansicht'!L37</f>
        <v>0</v>
      </c>
      <c r="F13" s="104">
        <f>'ITAR_K Gesamtansicht'!M37</f>
        <v>0</v>
      </c>
      <c r="G13" s="104">
        <f>'ITAR_K Gesamtansicht'!O37</f>
        <v>0</v>
      </c>
      <c r="H13" s="104">
        <f>'ITAR_K Gesamtansicht'!P37</f>
        <v>0</v>
      </c>
      <c r="I13" s="104">
        <f>'ITAR_K Gesamtansicht'!Q37</f>
        <v>0</v>
      </c>
      <c r="J13" s="670">
        <f>SUM(C13:I13)</f>
        <v>0</v>
      </c>
      <c r="K13" s="104">
        <f>'ITAR_K Gesamtansicht'!S37</f>
        <v>0</v>
      </c>
      <c r="L13" s="104">
        <f>'ITAR_K Gesamtansicht'!T37</f>
        <v>0</v>
      </c>
      <c r="M13" s="104">
        <f>'ITAR_K Gesamtansicht'!U37</f>
        <v>0</v>
      </c>
      <c r="N13" s="104">
        <f>'ITAR_K Gesamtansicht'!V37</f>
        <v>0</v>
      </c>
      <c r="O13" s="104">
        <f>'ITAR_K Gesamtansicht'!W37</f>
        <v>0</v>
      </c>
      <c r="P13" s="104">
        <f>'ITAR_K Gesamtansicht'!X37</f>
        <v>0</v>
      </c>
      <c r="Q13" s="104">
        <f>'ITAR_K Gesamtansicht'!Y37</f>
        <v>0</v>
      </c>
      <c r="R13" s="104">
        <f>'ITAR_K Gesamtansicht'!Z37</f>
        <v>0</v>
      </c>
      <c r="S13" s="104">
        <f>'ITAR_K Gesamtansicht'!AA37</f>
        <v>0</v>
      </c>
      <c r="T13" s="104">
        <f>'ITAR_K Gesamtansicht'!AB37</f>
        <v>0</v>
      </c>
      <c r="U13" s="104">
        <f>'ITAR_K Gesamtansicht'!AC37</f>
        <v>0</v>
      </c>
      <c r="V13" s="104">
        <f>'ITAR_K Gesamtansicht'!AD37</f>
        <v>0</v>
      </c>
      <c r="W13" s="104">
        <f>'ITAR_K Gesamtansicht'!AE37</f>
        <v>0</v>
      </c>
      <c r="X13" s="104">
        <f>'ITAR_K Gesamtansicht'!AF37</f>
        <v>0</v>
      </c>
      <c r="Y13" s="104">
        <f>'ITAR_K Gesamtansicht'!AG37</f>
        <v>0</v>
      </c>
      <c r="Z13" s="104">
        <f>'ITAR_K Gesamtansicht'!AH37</f>
        <v>0</v>
      </c>
      <c r="AA13" s="104">
        <f>'ITAR_K Gesamtansicht'!AI37</f>
        <v>0</v>
      </c>
      <c r="AB13" s="104">
        <f>'ITAR_K Gesamtansicht'!AJ37</f>
        <v>0</v>
      </c>
      <c r="AC13" s="104">
        <f>'ITAR_K Gesamtansicht'!AK37</f>
        <v>0</v>
      </c>
      <c r="AD13" s="104">
        <f>'ITAR_K Gesamtansicht'!AL37</f>
        <v>0</v>
      </c>
      <c r="AE13" s="104">
        <f>'ITAR_K Gesamtansicht'!AM37</f>
        <v>0</v>
      </c>
      <c r="AF13" s="104">
        <f>'ITAR_K Gesamtansicht'!AN37</f>
        <v>0</v>
      </c>
      <c r="AG13" s="104">
        <f>'ITAR_K Gesamtansicht'!AO37</f>
        <v>0</v>
      </c>
      <c r="AH13" s="104">
        <f>'ITAR_K Gesamtansicht'!AP37</f>
        <v>0</v>
      </c>
      <c r="AI13" s="104">
        <f>'ITAR_K Gesamtansicht'!AQ37</f>
        <v>0</v>
      </c>
      <c r="AJ13" s="104">
        <f>'ITAR_K Gesamtansicht'!AR37</f>
        <v>0</v>
      </c>
      <c r="AK13" s="104">
        <f>'ITAR_K Gesamtansicht'!AS37</f>
        <v>0</v>
      </c>
      <c r="AL13" s="104">
        <f>'ITAR_K Gesamtansicht'!AT37</f>
        <v>0</v>
      </c>
      <c r="AM13" s="104">
        <f>'ITAR_K Gesamtansicht'!AU37</f>
        <v>0</v>
      </c>
      <c r="AN13" s="104">
        <f>'ITAR_K Gesamtansicht'!AV37</f>
        <v>0</v>
      </c>
      <c r="AO13" s="104">
        <f>'ITAR_K Gesamtansicht'!AW37</f>
        <v>0</v>
      </c>
      <c r="AP13" s="104">
        <f>'ITAR_K Gesamtansicht'!AX37</f>
        <v>0</v>
      </c>
      <c r="AQ13" s="104">
        <f>'ITAR_K Gesamtansicht'!AY37</f>
        <v>0</v>
      </c>
      <c r="AR13" s="104">
        <f>'ITAR_K Gesamtansicht'!AZ37</f>
        <v>0</v>
      </c>
      <c r="AS13" s="104">
        <f>'ITAR_K Gesamtansicht'!BA37</f>
        <v>0</v>
      </c>
      <c r="AT13" s="104">
        <f>'ITAR_K Gesamtansicht'!BB37</f>
        <v>0</v>
      </c>
      <c r="AU13" s="104">
        <f>'ITAR_K Gesamtansicht'!BC37</f>
        <v>0</v>
      </c>
      <c r="AV13" s="104">
        <f>'ITAR_K Gesamtansicht'!BD37</f>
        <v>0</v>
      </c>
      <c r="AW13" s="104">
        <f>'ITAR_K Gesamtansicht'!BE37</f>
        <v>0</v>
      </c>
      <c r="AX13" s="670">
        <f>SUM(K13:AW13)</f>
        <v>0</v>
      </c>
      <c r="AY13" s="104">
        <f>'ITAR_K Gesamtansicht'!BG37</f>
        <v>0</v>
      </c>
      <c r="AZ13" s="104">
        <f>'ITAR_K Gesamtansicht'!BH37</f>
        <v>0</v>
      </c>
      <c r="BA13" s="104">
        <f>'ITAR_K Gesamtansicht'!BI37</f>
        <v>0</v>
      </c>
      <c r="BB13" s="104">
        <f>'ITAR_K Gesamtansicht'!BJ37</f>
        <v>0</v>
      </c>
      <c r="BC13" s="104">
        <f>'ITAR_K Gesamtansicht'!BK37</f>
        <v>0</v>
      </c>
      <c r="BD13" s="104">
        <f>'ITAR_K Gesamtansicht'!BL37</f>
        <v>0</v>
      </c>
      <c r="BE13" s="104">
        <f>'ITAR_K Gesamtansicht'!BM37</f>
        <v>0</v>
      </c>
      <c r="BF13" s="104">
        <f>'ITAR_K Gesamtansicht'!BN37</f>
        <v>0</v>
      </c>
      <c r="BG13" s="104">
        <f>'ITAR_K Gesamtansicht'!BO37</f>
        <v>0</v>
      </c>
      <c r="BH13" s="104">
        <f>'ITAR_K Gesamtansicht'!BP37</f>
        <v>0</v>
      </c>
      <c r="BI13" s="104">
        <f>'ITAR_K Gesamtansicht'!BQ37</f>
        <v>0</v>
      </c>
      <c r="BJ13" s="104">
        <f>'ITAR_K Gesamtansicht'!BR37</f>
        <v>0</v>
      </c>
      <c r="BK13" s="670">
        <f>SUM(AY13:BJ13)</f>
        <v>0</v>
      </c>
    </row>
    <row r="14" spans="1:63">
      <c r="B14" s="187" t="s">
        <v>134</v>
      </c>
      <c r="C14" s="191"/>
      <c r="D14" s="191">
        <f>IF(D12=0,0,D12*D7)</f>
        <v>0</v>
      </c>
      <c r="E14" s="191"/>
      <c r="F14" s="191">
        <f>IF(F12=0,0,F12*F7)</f>
        <v>0</v>
      </c>
      <c r="G14" s="192"/>
      <c r="H14" s="191"/>
      <c r="I14" s="191">
        <f>IF(I12=0,0,I12*I7)</f>
        <v>0</v>
      </c>
      <c r="J14" s="670">
        <f>SUM(C14:I14)</f>
        <v>0</v>
      </c>
      <c r="K14" s="104"/>
      <c r="L14" s="104">
        <f>IF(L12=0,0,L12*L7)</f>
        <v>0</v>
      </c>
      <c r="M14" s="104"/>
      <c r="N14" s="104">
        <f>IF(N12=0,0,N12*N7)</f>
        <v>0</v>
      </c>
      <c r="O14" s="104"/>
      <c r="P14" s="104">
        <f>IF(P12=0,0,P12*P7)</f>
        <v>0</v>
      </c>
      <c r="Q14" s="104"/>
      <c r="R14" s="104">
        <f>IF(R12=0,0,R12*R7)</f>
        <v>0</v>
      </c>
      <c r="S14" s="104"/>
      <c r="T14" s="104">
        <f>IF(T12=0,0,T12*T7)</f>
        <v>0</v>
      </c>
      <c r="U14" s="104"/>
      <c r="V14" s="104">
        <f>IF(V12=0,0,V12*V7)</f>
        <v>0</v>
      </c>
      <c r="W14" s="104"/>
      <c r="X14" s="104">
        <f>IF(X12=0,0,X12*X7)</f>
        <v>0</v>
      </c>
      <c r="Y14" s="104"/>
      <c r="Z14" s="104">
        <f>IF(Z12=0,0,Z12*Z7)</f>
        <v>0</v>
      </c>
      <c r="AA14" s="104"/>
      <c r="AB14" s="104">
        <f>IF(AB12=0,0,AB12*AB7)</f>
        <v>0</v>
      </c>
      <c r="AC14" s="104"/>
      <c r="AD14" s="104">
        <f>IF(AD12=0,0,AD12*AD7)</f>
        <v>0</v>
      </c>
      <c r="AE14" s="104"/>
      <c r="AF14" s="104">
        <f>IF(AF12=0,0,AF12*AF7)</f>
        <v>0</v>
      </c>
      <c r="AG14" s="104"/>
      <c r="AH14" s="104">
        <f>IF(AH12=0,0,AH12*AH7)</f>
        <v>0</v>
      </c>
      <c r="AI14" s="104"/>
      <c r="AJ14" s="104">
        <f t="shared" ref="AJ14" si="18">IF(AJ12=0,0,AJ12*AJ7)</f>
        <v>0</v>
      </c>
      <c r="AK14" s="104"/>
      <c r="AL14" s="104">
        <f t="shared" ref="AL14" si="19">IF(AL12=0,0,AL12*AL7)</f>
        <v>0</v>
      </c>
      <c r="AM14" s="104"/>
      <c r="AN14" s="104">
        <f t="shared" ref="AN14" si="20">IF(AN12=0,0,AN12*AN7)</f>
        <v>0</v>
      </c>
      <c r="AO14" s="104"/>
      <c r="AP14" s="104">
        <f t="shared" ref="AP14" si="21">IF(AP12=0,0,AP12*AP7)</f>
        <v>0</v>
      </c>
      <c r="AQ14" s="104"/>
      <c r="AR14" s="104">
        <f t="shared" ref="AR14" si="22">IF(AR12=0,0,AR12*AR7)</f>
        <v>0</v>
      </c>
      <c r="AS14" s="104"/>
      <c r="AT14" s="104">
        <f t="shared" ref="AT14" si="23">IF(AT12=0,0,AT12*AT7)</f>
        <v>0</v>
      </c>
      <c r="AU14" s="104"/>
      <c r="AV14" s="104"/>
      <c r="AW14" s="104">
        <f>IF(AW12=0,0,AW12*AW7)</f>
        <v>0</v>
      </c>
      <c r="AX14" s="670">
        <f>SUM(K14:AW14)</f>
        <v>0</v>
      </c>
      <c r="AY14" s="191"/>
      <c r="AZ14" s="191">
        <f>IF(AZ12=0,0,AZ12*AZ7)</f>
        <v>0</v>
      </c>
      <c r="BA14" s="191"/>
      <c r="BB14" s="191">
        <f>IF(BB12=0,0,BB12*BB7)</f>
        <v>0</v>
      </c>
      <c r="BC14" s="192"/>
      <c r="BD14" s="191"/>
      <c r="BE14" s="191">
        <f>IF(BE12=0,0,BE12*BE7)</f>
        <v>0</v>
      </c>
      <c r="BF14" s="191"/>
      <c r="BG14" s="191">
        <f>IF(BG12=0,0,BG12*BG7)</f>
        <v>0</v>
      </c>
      <c r="BH14" s="192"/>
      <c r="BI14" s="191"/>
      <c r="BJ14" s="191">
        <f>IF(BJ12=0,0,BJ12*BJ7)</f>
        <v>0</v>
      </c>
      <c r="BK14" s="670">
        <f>SUM(AY14:BJ14)</f>
        <v>0</v>
      </c>
    </row>
    <row r="15" spans="1:63" s="193" customFormat="1">
      <c r="B15" s="187" t="s">
        <v>82</v>
      </c>
      <c r="C15" s="191" t="e">
        <f>SUM('ITAR_K Gesamtansicht'!I27)</f>
        <v>#DIV/0!</v>
      </c>
      <c r="D15" s="191" t="e">
        <f>SUM('ITAR_K Gesamtansicht'!J27)</f>
        <v>#DIV/0!</v>
      </c>
      <c r="E15" s="191" t="e">
        <f>SUM('ITAR_K Gesamtansicht'!L27)</f>
        <v>#DIV/0!</v>
      </c>
      <c r="F15" s="191" t="e">
        <f>SUM('ITAR_K Gesamtansicht'!M27)</f>
        <v>#DIV/0!</v>
      </c>
      <c r="H15" s="191" t="e">
        <f>SUM('ITAR_K Gesamtansicht'!P27)</f>
        <v>#DIV/0!</v>
      </c>
      <c r="I15" s="191" t="e">
        <f>SUM('ITAR_K Gesamtansicht'!Q27)</f>
        <v>#DIV/0!</v>
      </c>
      <c r="K15" s="191" t="e">
        <f>SUM('ITAR_K Gesamtansicht'!S27)</f>
        <v>#DIV/0!</v>
      </c>
      <c r="L15" s="191" t="e">
        <f>SUM('ITAR_K Gesamtansicht'!T27)</f>
        <v>#DIV/0!</v>
      </c>
      <c r="M15" s="191" t="e">
        <f>SUM('ITAR_K Gesamtansicht'!U27)</f>
        <v>#DIV/0!</v>
      </c>
      <c r="N15" s="191" t="e">
        <f>SUM('ITAR_K Gesamtansicht'!V27)</f>
        <v>#DIV/0!</v>
      </c>
      <c r="O15" s="191" t="e">
        <f>SUM('ITAR_K Gesamtansicht'!W27)</f>
        <v>#DIV/0!</v>
      </c>
      <c r="P15" s="191" t="e">
        <f>SUM('ITAR_K Gesamtansicht'!X27)</f>
        <v>#DIV/0!</v>
      </c>
      <c r="Q15" s="191" t="e">
        <f>SUM('ITAR_K Gesamtansicht'!Y27)</f>
        <v>#DIV/0!</v>
      </c>
      <c r="R15" s="191" t="e">
        <f>SUM('ITAR_K Gesamtansicht'!Z27)</f>
        <v>#DIV/0!</v>
      </c>
      <c r="S15" s="191" t="e">
        <f>SUM('ITAR_K Gesamtansicht'!AA27)</f>
        <v>#DIV/0!</v>
      </c>
      <c r="T15" s="191" t="e">
        <f>SUM('ITAR_K Gesamtansicht'!AB27)</f>
        <v>#DIV/0!</v>
      </c>
      <c r="U15" s="191" t="e">
        <f>SUM('ITAR_K Gesamtansicht'!AC27)</f>
        <v>#DIV/0!</v>
      </c>
      <c r="V15" s="191" t="e">
        <f>SUM('ITAR_K Gesamtansicht'!AD27)</f>
        <v>#DIV/0!</v>
      </c>
      <c r="W15" s="191" t="e">
        <f>SUM('ITAR_K Gesamtansicht'!AE27)</f>
        <v>#DIV/0!</v>
      </c>
      <c r="X15" s="191" t="e">
        <f>SUM('ITAR_K Gesamtansicht'!AF27)</f>
        <v>#DIV/0!</v>
      </c>
      <c r="Y15" s="191" t="e">
        <f>SUM('ITAR_K Gesamtansicht'!AG27)</f>
        <v>#DIV/0!</v>
      </c>
      <c r="Z15" s="191" t="e">
        <f>SUM('ITAR_K Gesamtansicht'!AH27)</f>
        <v>#DIV/0!</v>
      </c>
      <c r="AA15" s="191" t="e">
        <f>SUM('ITAR_K Gesamtansicht'!AI27)</f>
        <v>#DIV/0!</v>
      </c>
      <c r="AB15" s="191" t="e">
        <f>SUM('ITAR_K Gesamtansicht'!AJ27)</f>
        <v>#DIV/0!</v>
      </c>
      <c r="AC15" s="191" t="e">
        <f>SUM('ITAR_K Gesamtansicht'!AK27)</f>
        <v>#DIV/0!</v>
      </c>
      <c r="AD15" s="191" t="e">
        <f>SUM('ITAR_K Gesamtansicht'!AL27)</f>
        <v>#DIV/0!</v>
      </c>
      <c r="AE15" s="191" t="e">
        <f>SUM('ITAR_K Gesamtansicht'!AM27)</f>
        <v>#DIV/0!</v>
      </c>
      <c r="AF15" s="191" t="e">
        <f>SUM('ITAR_K Gesamtansicht'!AN27)</f>
        <v>#DIV/0!</v>
      </c>
      <c r="AG15" s="191" t="e">
        <f>SUM('ITAR_K Gesamtansicht'!AO27)</f>
        <v>#DIV/0!</v>
      </c>
      <c r="AH15" s="191" t="e">
        <f>SUM('ITAR_K Gesamtansicht'!AP27)</f>
        <v>#DIV/0!</v>
      </c>
      <c r="AI15" s="191" t="e">
        <f>SUM('ITAR_K Gesamtansicht'!AQ27)</f>
        <v>#DIV/0!</v>
      </c>
      <c r="AJ15" s="191" t="e">
        <f>SUM('ITAR_K Gesamtansicht'!AR27)</f>
        <v>#DIV/0!</v>
      </c>
      <c r="AK15" s="191" t="e">
        <f>SUM('ITAR_K Gesamtansicht'!AS27)</f>
        <v>#DIV/0!</v>
      </c>
      <c r="AL15" s="191" t="e">
        <f>SUM('ITAR_K Gesamtansicht'!AT27)</f>
        <v>#DIV/0!</v>
      </c>
      <c r="AM15" s="191" t="e">
        <f>SUM('ITAR_K Gesamtansicht'!AU27)</f>
        <v>#DIV/0!</v>
      </c>
      <c r="AN15" s="191" t="e">
        <f>SUM('ITAR_K Gesamtansicht'!AV27)</f>
        <v>#DIV/0!</v>
      </c>
      <c r="AO15" s="191" t="e">
        <f>SUM('ITAR_K Gesamtansicht'!AW27)</f>
        <v>#DIV/0!</v>
      </c>
      <c r="AP15" s="191" t="e">
        <f>SUM('ITAR_K Gesamtansicht'!AX27)</f>
        <v>#DIV/0!</v>
      </c>
      <c r="AQ15" s="191" t="e">
        <f>SUM('ITAR_K Gesamtansicht'!AY27)</f>
        <v>#DIV/0!</v>
      </c>
      <c r="AR15" s="191" t="e">
        <f>SUM('ITAR_K Gesamtansicht'!AZ27)</f>
        <v>#DIV/0!</v>
      </c>
      <c r="AS15" s="191" t="e">
        <f>SUM('ITAR_K Gesamtansicht'!BA27)</f>
        <v>#DIV/0!</v>
      </c>
      <c r="AT15" s="191" t="e">
        <f>SUM('ITAR_K Gesamtansicht'!BB27)</f>
        <v>#DIV/0!</v>
      </c>
      <c r="AV15" s="191" t="e">
        <f>SUM('ITAR_K Gesamtansicht'!BD27)</f>
        <v>#DIV/0!</v>
      </c>
      <c r="AW15" s="191" t="e">
        <f>SUM('ITAR_K Gesamtansicht'!BE27)</f>
        <v>#DIV/0!</v>
      </c>
      <c r="AY15" s="191" t="e">
        <f>SUM('ITAR_K Gesamtansicht'!BG27)</f>
        <v>#DIV/0!</v>
      </c>
      <c r="AZ15" s="191" t="e">
        <f>SUM('ITAR_K Gesamtansicht'!BH27)</f>
        <v>#DIV/0!</v>
      </c>
      <c r="BA15" s="191" t="e">
        <f>SUM('ITAR_K Gesamtansicht'!BI27)</f>
        <v>#DIV/0!</v>
      </c>
      <c r="BB15" s="191" t="e">
        <f>SUM('ITAR_K Gesamtansicht'!BJ27)</f>
        <v>#DIV/0!</v>
      </c>
      <c r="BD15" s="191" t="e">
        <f>SUM('ITAR_K Gesamtansicht'!BL27)</f>
        <v>#DIV/0!</v>
      </c>
      <c r="BE15" s="191" t="e">
        <f>SUM('ITAR_K Gesamtansicht'!BM27)</f>
        <v>#DIV/0!</v>
      </c>
      <c r="BF15" s="191" t="e">
        <f>SUM('ITAR_K Gesamtansicht'!BN27)</f>
        <v>#DIV/0!</v>
      </c>
      <c r="BG15" s="191" t="e">
        <f>SUM('ITAR_K Gesamtansicht'!BO27)</f>
        <v>#DIV/0!</v>
      </c>
      <c r="BI15" s="191" t="e">
        <f>SUM('ITAR_K Gesamtansicht'!BQ27)</f>
        <v>#DIV/0!</v>
      </c>
      <c r="BJ15" s="191" t="e">
        <f>SUM('ITAR_K Gesamtansicht'!BR27)</f>
        <v>#DIV/0!</v>
      </c>
    </row>
    <row r="16" spans="1:63" s="350" customFormat="1" ht="12.75" customHeight="1">
      <c r="B16" s="188" t="s">
        <v>135</v>
      </c>
      <c r="C16" s="694"/>
      <c r="D16" s="695">
        <f>IF(D13=0,0,D14/D15)</f>
        <v>0</v>
      </c>
      <c r="E16" s="694"/>
      <c r="F16" s="695">
        <f>IF(F13=0,0,F14/F15)</f>
        <v>0</v>
      </c>
      <c r="H16" s="694"/>
      <c r="I16" s="695">
        <f>IF(I13=0,0,I14/I15)</f>
        <v>0</v>
      </c>
      <c r="K16" s="694"/>
      <c r="L16" s="695">
        <f>IF(L13=0,0,L14/L15)</f>
        <v>0</v>
      </c>
      <c r="M16" s="694"/>
      <c r="N16" s="695">
        <f>IF(N13=0,0,N14/N15)</f>
        <v>0</v>
      </c>
      <c r="O16" s="694"/>
      <c r="P16" s="695">
        <f>IF(P13=0,0,P14/P15)</f>
        <v>0</v>
      </c>
      <c r="Q16" s="695"/>
      <c r="R16" s="695">
        <f>IF(R13=0,0,R14/R15)</f>
        <v>0</v>
      </c>
      <c r="S16" s="694"/>
      <c r="T16" s="695">
        <f>IF(T13=0,0,T14/T15)</f>
        <v>0</v>
      </c>
      <c r="U16" s="694"/>
      <c r="V16" s="695">
        <f>IF(V13=0,0,V14/V15)</f>
        <v>0</v>
      </c>
      <c r="W16" s="694"/>
      <c r="X16" s="695">
        <f>IF(X13=0,0,X14/X15)</f>
        <v>0</v>
      </c>
      <c r="Y16" s="694"/>
      <c r="Z16" s="695">
        <f>IF(Z13=0,0,Z14/Z15)</f>
        <v>0</v>
      </c>
      <c r="AA16" s="694"/>
      <c r="AB16" s="695">
        <f>IF(AB13=0,0,AB14/AB15)</f>
        <v>0</v>
      </c>
      <c r="AC16" s="694"/>
      <c r="AD16" s="695">
        <f>IF(AD13=0,0,AD14/AD15)</f>
        <v>0</v>
      </c>
      <c r="AE16" s="694"/>
      <c r="AF16" s="695">
        <f>IF(AF13=0,0,AF14/AF15)</f>
        <v>0</v>
      </c>
      <c r="AG16" s="694"/>
      <c r="AH16" s="695">
        <f>IF(AH13=0,0,AH14/AH15)</f>
        <v>0</v>
      </c>
      <c r="AI16" s="694"/>
      <c r="AJ16" s="695">
        <f t="shared" ref="AJ16" si="24">IF(AJ13=0,0,AJ14/AJ15)</f>
        <v>0</v>
      </c>
      <c r="AK16" s="694"/>
      <c r="AL16" s="695">
        <f t="shared" ref="AL16" si="25">IF(AL13=0,0,AL14/AL15)</f>
        <v>0</v>
      </c>
      <c r="AM16" s="694"/>
      <c r="AN16" s="695">
        <f t="shared" ref="AN16" si="26">IF(AN13=0,0,AN14/AN15)</f>
        <v>0</v>
      </c>
      <c r="AO16" s="694"/>
      <c r="AP16" s="695">
        <f t="shared" ref="AP16" si="27">IF(AP13=0,0,AP14/AP15)</f>
        <v>0</v>
      </c>
      <c r="AQ16" s="694"/>
      <c r="AR16" s="695">
        <f t="shared" ref="AR16" si="28">IF(AR13=0,0,AR14/AR15)</f>
        <v>0</v>
      </c>
      <c r="AS16" s="694"/>
      <c r="AT16" s="695">
        <f t="shared" ref="AT16" si="29">IF(AT13=0,0,AT14/AT15)</f>
        <v>0</v>
      </c>
      <c r="AV16" s="694"/>
      <c r="AW16" s="695">
        <f>IF(AW13=0,0,AW14/AW15)</f>
        <v>0</v>
      </c>
      <c r="AY16" s="694"/>
      <c r="AZ16" s="695">
        <f>IF(AZ13=0,0,AZ14/AZ15)</f>
        <v>0</v>
      </c>
      <c r="BA16" s="694"/>
      <c r="BB16" s="695">
        <f>IF(BB13=0,0,BB14/BB15)</f>
        <v>0</v>
      </c>
      <c r="BD16" s="694"/>
      <c r="BE16" s="695">
        <f>IF(BE13=0,0,BE14/BE15)</f>
        <v>0</v>
      </c>
      <c r="BF16" s="694"/>
      <c r="BG16" s="695">
        <f>IF(BG13=0,0,BG14/BG15)</f>
        <v>0</v>
      </c>
      <c r="BI16" s="694"/>
      <c r="BJ16" s="695">
        <f>IF(BJ13=0,0,BJ14/BJ15)</f>
        <v>0</v>
      </c>
    </row>
    <row r="17" spans="1:62" s="912" customFormat="1" ht="69.75" customHeight="1">
      <c r="B17" s="913"/>
      <c r="C17" s="914"/>
      <c r="D17" s="915" t="s">
        <v>1447</v>
      </c>
      <c r="E17" s="914"/>
      <c r="F17" s="915" t="s">
        <v>1448</v>
      </c>
      <c r="H17" s="914"/>
      <c r="I17" s="915" t="s">
        <v>1449</v>
      </c>
      <c r="K17" s="914"/>
      <c r="L17" s="915" t="s">
        <v>1450</v>
      </c>
      <c r="M17" s="914"/>
      <c r="N17" s="915" t="s">
        <v>1451</v>
      </c>
      <c r="O17" s="914"/>
      <c r="P17" s="915" t="s">
        <v>1452</v>
      </c>
      <c r="Q17" s="914"/>
      <c r="R17" s="915" t="s">
        <v>1453</v>
      </c>
      <c r="S17" s="914"/>
      <c r="T17" s="915" t="s">
        <v>1454</v>
      </c>
      <c r="U17" s="914"/>
      <c r="V17" s="915" t="s">
        <v>1455</v>
      </c>
      <c r="W17" s="914"/>
      <c r="X17" s="915" t="s">
        <v>1456</v>
      </c>
      <c r="Y17" s="914"/>
      <c r="Z17" s="915" t="s">
        <v>1457</v>
      </c>
      <c r="AA17" s="914"/>
      <c r="AB17" s="915" t="s">
        <v>1458</v>
      </c>
      <c r="AC17" s="914"/>
      <c r="AD17" s="915" t="s">
        <v>1459</v>
      </c>
      <c r="AE17" s="914"/>
      <c r="AF17" s="915" t="s">
        <v>1460</v>
      </c>
      <c r="AG17" s="914"/>
      <c r="AH17" s="915" t="s">
        <v>1461</v>
      </c>
      <c r="AI17" s="914"/>
      <c r="AJ17" s="915" t="s">
        <v>1462</v>
      </c>
      <c r="AK17" s="914"/>
      <c r="AL17" s="915" t="s">
        <v>1463</v>
      </c>
      <c r="AM17" s="914"/>
      <c r="AN17" s="915" t="s">
        <v>1464</v>
      </c>
      <c r="AO17" s="914"/>
      <c r="AP17" s="915" t="s">
        <v>1465</v>
      </c>
      <c r="AQ17" s="915"/>
      <c r="AR17" s="915" t="s">
        <v>1466</v>
      </c>
      <c r="AS17" s="915"/>
      <c r="AT17" s="915" t="s">
        <v>1467</v>
      </c>
      <c r="AU17" s="915"/>
      <c r="AV17" s="914"/>
      <c r="AW17" s="915" t="s">
        <v>1468</v>
      </c>
      <c r="AY17" s="914"/>
      <c r="AZ17" s="915" t="s">
        <v>1469</v>
      </c>
      <c r="BA17" s="914"/>
      <c r="BB17" s="915" t="s">
        <v>1470</v>
      </c>
      <c r="BD17" s="914"/>
      <c r="BE17" s="915" t="s">
        <v>1471</v>
      </c>
      <c r="BF17" s="914"/>
      <c r="BG17" s="915" t="s">
        <v>1473</v>
      </c>
      <c r="BI17" s="914"/>
      <c r="BJ17" s="915" t="s">
        <v>1472</v>
      </c>
    </row>
    <row r="18" spans="1:62">
      <c r="B18" s="194"/>
      <c r="C18" s="195"/>
      <c r="E18" s="196"/>
    </row>
    <row r="19" spans="1:62" s="318" customFormat="1">
      <c r="B19" s="673"/>
    </row>
    <row r="20" spans="1:62" s="318" customFormat="1"/>
    <row r="21" spans="1:62" ht="18" customHeight="1">
      <c r="A21" s="293" t="s">
        <v>553</v>
      </c>
      <c r="B21" s="1385" t="s">
        <v>159</v>
      </c>
      <c r="C21" s="1385"/>
      <c r="D21" s="1385"/>
      <c r="E21" s="1385"/>
      <c r="AY21" s="318"/>
      <c r="AZ21" s="318"/>
    </row>
    <row r="22" spans="1:62" ht="18" customHeight="1">
      <c r="A22" s="291"/>
      <c r="B22" s="240" t="s">
        <v>165</v>
      </c>
      <c r="C22" s="241" t="s">
        <v>155</v>
      </c>
      <c r="E22" s="196"/>
      <c r="AY22" s="318"/>
      <c r="AZ22" s="318"/>
    </row>
    <row r="23" spans="1:62">
      <c r="A23" s="294"/>
      <c r="B23" s="1220"/>
      <c r="C23" s="1221"/>
      <c r="E23" s="196"/>
      <c r="AY23" s="318"/>
      <c r="AZ23" s="318"/>
    </row>
    <row r="24" spans="1:62">
      <c r="A24" s="291"/>
      <c r="B24" s="1222"/>
      <c r="C24" s="1221"/>
      <c r="E24" s="196"/>
      <c r="AY24" s="318"/>
      <c r="AZ24" s="318"/>
    </row>
    <row r="25" spans="1:62">
      <c r="A25" s="291"/>
      <c r="B25" s="1222"/>
      <c r="C25" s="1221"/>
      <c r="E25" s="196"/>
      <c r="AY25" s="318"/>
      <c r="AZ25" s="318"/>
    </row>
    <row r="26" spans="1:62">
      <c r="A26" s="291"/>
      <c r="B26" s="1222"/>
      <c r="C26" s="1221"/>
      <c r="E26" s="196"/>
      <c r="AY26" s="318"/>
      <c r="AZ26" s="318"/>
    </row>
    <row r="27" spans="1:62">
      <c r="A27" s="291"/>
      <c r="B27" s="1222"/>
      <c r="C27" s="1221"/>
      <c r="E27" s="196"/>
      <c r="AY27" s="318"/>
      <c r="AZ27" s="318"/>
    </row>
    <row r="28" spans="1:62">
      <c r="A28" s="291"/>
      <c r="B28" s="1222"/>
      <c r="C28" s="1221"/>
      <c r="E28" s="196"/>
      <c r="AY28" s="318"/>
      <c r="AZ28" s="318"/>
    </row>
    <row r="29" spans="1:62">
      <c r="A29" s="291"/>
      <c r="B29" s="1222"/>
      <c r="C29" s="1221"/>
      <c r="E29" s="196"/>
      <c r="AY29" s="318"/>
      <c r="AZ29" s="318"/>
    </row>
    <row r="30" spans="1:62">
      <c r="A30" s="291"/>
      <c r="B30" s="1222"/>
      <c r="C30" s="1221"/>
      <c r="E30" s="196"/>
    </row>
    <row r="31" spans="1:62">
      <c r="A31" s="291"/>
      <c r="B31" s="1222"/>
      <c r="C31" s="1221"/>
      <c r="E31" s="196"/>
    </row>
    <row r="32" spans="1:62">
      <c r="A32" s="291"/>
      <c r="B32" s="1222"/>
      <c r="C32" s="1221"/>
      <c r="E32" s="196"/>
    </row>
    <row r="33" spans="1:66">
      <c r="A33" s="291"/>
      <c r="B33" s="1222"/>
      <c r="C33" s="1221"/>
      <c r="E33" s="196"/>
    </row>
    <row r="34" spans="1:66">
      <c r="A34" s="291"/>
      <c r="B34" s="1222"/>
      <c r="C34" s="1221"/>
      <c r="E34" s="196"/>
    </row>
    <row r="35" spans="1:66">
      <c r="A35" s="291"/>
      <c r="B35" s="1222"/>
      <c r="C35" s="1221"/>
      <c r="E35" s="196"/>
    </row>
    <row r="36" spans="1:66">
      <c r="A36" s="295"/>
      <c r="B36" s="1223"/>
      <c r="C36" s="1224"/>
      <c r="E36" s="196"/>
    </row>
    <row r="37" spans="1:66">
      <c r="A37" s="295"/>
      <c r="B37" s="1383" t="s">
        <v>592</v>
      </c>
      <c r="C37" s="200">
        <f>SUM(C23:C36)</f>
        <v>0</v>
      </c>
      <c r="E37" s="196"/>
    </row>
    <row r="38" spans="1:66" ht="12.75" customHeight="1">
      <c r="A38" s="291"/>
      <c r="B38" s="1384"/>
      <c r="E38" s="196"/>
    </row>
    <row r="39" spans="1:66" s="193" customFormat="1" ht="13.5" thickBot="1">
      <c r="A39" s="197"/>
      <c r="B39" s="197"/>
      <c r="C39" s="197"/>
      <c r="D39" s="197"/>
      <c r="E39" s="197"/>
      <c r="F39" s="197"/>
      <c r="G39" s="197"/>
      <c r="H39" s="197"/>
      <c r="I39" s="197"/>
      <c r="J39" s="197"/>
      <c r="K39" s="197"/>
      <c r="L39" s="197"/>
    </row>
    <row r="40" spans="1:66" s="193" customFormat="1">
      <c r="A40" s="318"/>
      <c r="B40" s="318"/>
      <c r="C40" s="318"/>
      <c r="D40" s="318"/>
      <c r="E40" s="318"/>
      <c r="F40" s="318"/>
      <c r="G40" s="318"/>
      <c r="H40" s="318"/>
      <c r="I40" s="318"/>
      <c r="J40" s="318"/>
      <c r="K40" s="318"/>
      <c r="L40" s="318"/>
    </row>
    <row r="41" spans="1:66" s="193" customFormat="1" ht="18">
      <c r="A41" s="299">
        <v>2</v>
      </c>
      <c r="B41" s="300" t="s">
        <v>1398</v>
      </c>
      <c r="C41" s="318"/>
      <c r="D41" s="318"/>
      <c r="E41" s="318"/>
      <c r="F41" s="318"/>
      <c r="G41" s="318"/>
      <c r="H41" s="318"/>
      <c r="I41" s="318"/>
      <c r="J41" s="318"/>
      <c r="K41" s="318"/>
      <c r="L41" s="318"/>
    </row>
    <row r="42" spans="1:66" s="193" customFormat="1" ht="48">
      <c r="A42" s="318"/>
      <c r="B42" s="318"/>
      <c r="C42" s="201" t="str">
        <f>C2</f>
        <v>reine stat. KVG Fälle</v>
      </c>
      <c r="D42" s="201" t="str">
        <f t="shared" ref="D42:BJ42" si="30">D2</f>
        <v>stat. Tarif KVG ZV</v>
      </c>
      <c r="E42" s="201" t="str">
        <f t="shared" si="30"/>
        <v>stationärer
Tarif ZMT</v>
      </c>
      <c r="F42" s="201" t="str">
        <f t="shared" si="30"/>
        <v>stat. Tarif ZMT ZV</v>
      </c>
      <c r="G42" s="201" t="str">
        <f t="shared" si="30"/>
        <v>Übrige Selbstzahler</v>
      </c>
      <c r="H42" s="201" t="str">
        <f t="shared" si="30"/>
        <v xml:space="preserve">weiterer Tarif reine stat. </v>
      </c>
      <c r="I42" s="201" t="str">
        <f t="shared" si="30"/>
        <v>weiterer Terif stat. ZV</v>
      </c>
      <c r="J42" s="319" t="str">
        <f t="shared" si="30"/>
        <v>Total Akut stationär</v>
      </c>
      <c r="K42" s="201" t="str">
        <f t="shared" si="30"/>
        <v xml:space="preserve">Geriatrische Rehab. 
rein stat. KVG </v>
      </c>
      <c r="L42" s="201" t="str">
        <f t="shared" si="30"/>
        <v xml:space="preserve">Geriatrische Rehab. 
ZV KVG </v>
      </c>
      <c r="M42" s="201" t="str">
        <f t="shared" si="30"/>
        <v xml:space="preserve">Geriatrische Rehab. 
ZMT </v>
      </c>
      <c r="N42" s="201" t="str">
        <f t="shared" si="30"/>
        <v>Geriatrische Rehab. 
ZMT ZV</v>
      </c>
      <c r="O42" s="201" t="str">
        <f t="shared" si="30"/>
        <v xml:space="preserve">Kardiovask. Rehab. 
rein stat. KVG </v>
      </c>
      <c r="P42" s="201" t="str">
        <f t="shared" si="30"/>
        <v xml:space="preserve">Kardiovask. Rehab. 
ZV KVG </v>
      </c>
      <c r="Q42" s="201" t="str">
        <f t="shared" si="30"/>
        <v xml:space="preserve">Kardiovask. Rehab. 
ZMT </v>
      </c>
      <c r="R42" s="201" t="str">
        <f t="shared" si="30"/>
        <v>Kardiovask. Rehab. 
ZMT ZV</v>
      </c>
      <c r="S42" s="201" t="str">
        <f t="shared" si="30"/>
        <v xml:space="preserve">Muskulosk. Rehab. 
rein stat. KVG </v>
      </c>
      <c r="T42" s="201" t="str">
        <f t="shared" si="30"/>
        <v xml:space="preserve">Muskulosk. Rehab. 
ZV KVG </v>
      </c>
      <c r="U42" s="201" t="str">
        <f t="shared" si="30"/>
        <v xml:space="preserve">Muskulosk. Rehab. 
ZMT </v>
      </c>
      <c r="V42" s="201" t="str">
        <f t="shared" si="30"/>
        <v>Muskulosk. Rehab. 
ZMT ZV</v>
      </c>
      <c r="W42" s="201" t="str">
        <f t="shared" si="30"/>
        <v xml:space="preserve">Neuro. Rehab. 
rein stat. KVG </v>
      </c>
      <c r="X42" s="201" t="str">
        <f t="shared" si="30"/>
        <v xml:space="preserve">Neuro. Rehab. 
ZV KVG </v>
      </c>
      <c r="Y42" s="201" t="str">
        <f t="shared" si="30"/>
        <v xml:space="preserve">Neuro. Rehab. 
ZMT </v>
      </c>
      <c r="Z42" s="201" t="str">
        <f t="shared" si="30"/>
        <v>Neuro. Rehab. 
ZMT ZV</v>
      </c>
      <c r="AA42" s="201" t="str">
        <f t="shared" si="30"/>
        <v xml:space="preserve">Pulmonale Rehab. 
rein stat. KVG </v>
      </c>
      <c r="AB42" s="201" t="str">
        <f t="shared" si="30"/>
        <v xml:space="preserve">Pulmonale Rehab. 
ZV KVG </v>
      </c>
      <c r="AC42" s="201" t="str">
        <f t="shared" si="30"/>
        <v xml:space="preserve">Pulmonale Rehab. 
ZMT </v>
      </c>
      <c r="AD42" s="201" t="str">
        <f t="shared" si="30"/>
        <v>Pulmonale Rehab. 
ZMT ZV</v>
      </c>
      <c r="AE42" s="201" t="str">
        <f t="shared" si="30"/>
        <v xml:space="preserve">Pädiatrische Rehab. 
rein stat. KVG </v>
      </c>
      <c r="AF42" s="201" t="str">
        <f t="shared" si="30"/>
        <v xml:space="preserve">Pädiatrische Rehab. 
ZV KVG </v>
      </c>
      <c r="AG42" s="201" t="str">
        <f t="shared" si="30"/>
        <v xml:space="preserve">Pädiatrische Rehab. 
ZMT </v>
      </c>
      <c r="AH42" s="201" t="str">
        <f t="shared" si="30"/>
        <v>Pädiatrische Rehab. 
ZMT ZV</v>
      </c>
      <c r="AI42" s="201" t="str">
        <f t="shared" si="30"/>
        <v>Internistische &amp; Onkologische Rehab. 
Rein stat. KVG</v>
      </c>
      <c r="AJ42" s="201" t="str">
        <f t="shared" si="30"/>
        <v>Internistische &amp; Onkologische Rehab. 
ZV KVG</v>
      </c>
      <c r="AK42" s="201" t="str">
        <f t="shared" si="30"/>
        <v>Internistische &amp; Onkologische Rehab. 
ZMT</v>
      </c>
      <c r="AL42" s="201" t="str">
        <f t="shared" si="30"/>
        <v>Internistische &amp; Onkologische Rehab. 
ZMT ZV</v>
      </c>
      <c r="AM42" s="201" t="str">
        <f t="shared" si="30"/>
        <v>Paraplegiologische Rehab.
rein stat. KVG</v>
      </c>
      <c r="AN42" s="201" t="str">
        <f t="shared" si="30"/>
        <v>Paraplegiologische Rehab. ZV KVG</v>
      </c>
      <c r="AO42" s="201" t="str">
        <f t="shared" si="30"/>
        <v>Paraplegiologische Rehab. 
ZMT</v>
      </c>
      <c r="AP42" s="201" t="str">
        <f t="shared" si="30"/>
        <v>Paraplegiologische Rehab.
ZMT ZV</v>
      </c>
      <c r="AQ42" s="201" t="str">
        <f t="shared" si="30"/>
        <v>Psychosomatische Rehab.
rein stat. KVG</v>
      </c>
      <c r="AR42" s="201" t="str">
        <f t="shared" si="30"/>
        <v>Psychosomatische Rehab. ZV KVG</v>
      </c>
      <c r="AS42" s="201" t="str">
        <f t="shared" si="30"/>
        <v>Psychosomatische Rehab. 
ZMT</v>
      </c>
      <c r="AT42" s="201" t="str">
        <f t="shared" si="30"/>
        <v>Psychosomatische Rehab.
ZMT ZV</v>
      </c>
      <c r="AU42" s="201" t="str">
        <f t="shared" si="30"/>
        <v>Übrige Selbstzahler</v>
      </c>
      <c r="AV42" s="201" t="str">
        <f t="shared" si="30"/>
        <v>weiterer stat. Rehab. grundv.</v>
      </c>
      <c r="AW42" s="201" t="str">
        <f t="shared" si="30"/>
        <v>weiterer stat. Rehab. ZV</v>
      </c>
      <c r="AX42" s="319" t="str">
        <f t="shared" si="30"/>
        <v>Total Rehab. stationär</v>
      </c>
      <c r="AY42" s="201" t="str">
        <f t="shared" si="30"/>
        <v>reine stat. KVG Fälle
Erw. Psychi</v>
      </c>
      <c r="AZ42" s="201" t="str">
        <f t="shared" si="30"/>
        <v>stat. Tarif KVG ZV
Erw. Psychi</v>
      </c>
      <c r="BA42" s="201" t="str">
        <f t="shared" si="30"/>
        <v>stationärer
Tarif ZMT
Erw. Psychi</v>
      </c>
      <c r="BB42" s="201" t="str">
        <f t="shared" si="30"/>
        <v>stat. Tarif ZMT ZV
Erw. Psychi</v>
      </c>
      <c r="BC42" s="201" t="str">
        <f t="shared" si="30"/>
        <v xml:space="preserve">übrige Selbstzahler
Erw. Psychi
</v>
      </c>
      <c r="BD42" s="201" t="str">
        <f t="shared" si="30"/>
        <v>reine stat. KVG Fälle
Kinder Psychi</v>
      </c>
      <c r="BE42" s="201" t="str">
        <f t="shared" si="30"/>
        <v>stat. Tarif KVG ZV
Kinder Psychi</v>
      </c>
      <c r="BF42" s="201" t="str">
        <f t="shared" si="30"/>
        <v>stationärer
Tarif ZMT
Kinder Psychi</v>
      </c>
      <c r="BG42" s="201" t="str">
        <f t="shared" si="30"/>
        <v>stat. Tarif ZMT ZV
Kinder Psychi</v>
      </c>
      <c r="BH42" s="201" t="str">
        <f t="shared" si="30"/>
        <v xml:space="preserve">übrige Selbstzahler
Kinder Psychi
</v>
      </c>
      <c r="BI42" s="201" t="str">
        <f t="shared" si="30"/>
        <v>weiterer stat. Psychitarif grundv.</v>
      </c>
      <c r="BJ42" s="201" t="str">
        <f t="shared" si="30"/>
        <v>weiterer stat. Psychitarif ZV</v>
      </c>
      <c r="BK42" s="319" t="s">
        <v>408</v>
      </c>
      <c r="BL42" s="201" t="s">
        <v>1335</v>
      </c>
      <c r="BM42" s="201" t="s">
        <v>1336</v>
      </c>
      <c r="BN42" s="201" t="s">
        <v>1337</v>
      </c>
    </row>
    <row r="43" spans="1:66" s="193" customFormat="1">
      <c r="A43" s="318"/>
      <c r="B43" s="182" t="s">
        <v>1394</v>
      </c>
      <c r="C43" s="841">
        <f>'KTR-Ausweis Gesamtansicht'!I16</f>
        <v>0</v>
      </c>
      <c r="D43" s="841">
        <f>'KTR-Ausweis Gesamtansicht'!J16</f>
        <v>0</v>
      </c>
      <c r="E43" s="841">
        <f>'KTR-Ausweis Gesamtansicht'!L16</f>
        <v>0</v>
      </c>
      <c r="F43" s="841">
        <f>'KTR-Ausweis Gesamtansicht'!M16</f>
        <v>0</v>
      </c>
      <c r="G43" s="841">
        <f>'KTR-Ausweis Gesamtansicht'!O16</f>
        <v>0</v>
      </c>
      <c r="H43" s="841">
        <f>'KTR-Ausweis Gesamtansicht'!P16</f>
        <v>0</v>
      </c>
      <c r="I43" s="841">
        <f>'KTR-Ausweis Gesamtansicht'!Q16</f>
        <v>0</v>
      </c>
      <c r="J43" s="841">
        <f>SUM(C43:I43)</f>
        <v>0</v>
      </c>
      <c r="K43" s="841">
        <f>'KTR-Ausweis Gesamtansicht'!S16</f>
        <v>0</v>
      </c>
      <c r="L43" s="841">
        <f>'KTR-Ausweis Gesamtansicht'!T16</f>
        <v>0</v>
      </c>
      <c r="M43" s="841">
        <f>'KTR-Ausweis Gesamtansicht'!U16</f>
        <v>0</v>
      </c>
      <c r="N43" s="841">
        <f>'KTR-Ausweis Gesamtansicht'!V16</f>
        <v>0</v>
      </c>
      <c r="O43" s="841">
        <f>'KTR-Ausweis Gesamtansicht'!W16</f>
        <v>0</v>
      </c>
      <c r="P43" s="841">
        <f>'KTR-Ausweis Gesamtansicht'!X16</f>
        <v>0</v>
      </c>
      <c r="Q43" s="841">
        <f>'KTR-Ausweis Gesamtansicht'!Y16</f>
        <v>0</v>
      </c>
      <c r="R43" s="841">
        <f>'KTR-Ausweis Gesamtansicht'!Z16</f>
        <v>0</v>
      </c>
      <c r="S43" s="841">
        <f>'KTR-Ausweis Gesamtansicht'!AA16</f>
        <v>0</v>
      </c>
      <c r="T43" s="841">
        <f>'KTR-Ausweis Gesamtansicht'!AB16</f>
        <v>0</v>
      </c>
      <c r="U43" s="841">
        <f>'KTR-Ausweis Gesamtansicht'!AC16</f>
        <v>0</v>
      </c>
      <c r="V43" s="841">
        <f>'KTR-Ausweis Gesamtansicht'!AD16</f>
        <v>0</v>
      </c>
      <c r="W43" s="841">
        <f>'KTR-Ausweis Gesamtansicht'!AE16</f>
        <v>0</v>
      </c>
      <c r="X43" s="841">
        <f>'KTR-Ausweis Gesamtansicht'!AF16</f>
        <v>0</v>
      </c>
      <c r="Y43" s="841">
        <f>'KTR-Ausweis Gesamtansicht'!AG16</f>
        <v>0</v>
      </c>
      <c r="Z43" s="841">
        <f>'KTR-Ausweis Gesamtansicht'!AH16</f>
        <v>0</v>
      </c>
      <c r="AA43" s="841">
        <f>'KTR-Ausweis Gesamtansicht'!AI16</f>
        <v>0</v>
      </c>
      <c r="AB43" s="841">
        <f>'KTR-Ausweis Gesamtansicht'!AJ16</f>
        <v>0</v>
      </c>
      <c r="AC43" s="841">
        <f>'KTR-Ausweis Gesamtansicht'!AK16</f>
        <v>0</v>
      </c>
      <c r="AD43" s="841">
        <f>'KTR-Ausweis Gesamtansicht'!AL16</f>
        <v>0</v>
      </c>
      <c r="AE43" s="841">
        <f>'KTR-Ausweis Gesamtansicht'!AM16</f>
        <v>0</v>
      </c>
      <c r="AF43" s="841">
        <f>'KTR-Ausweis Gesamtansicht'!AN16</f>
        <v>0</v>
      </c>
      <c r="AG43" s="841">
        <f>'KTR-Ausweis Gesamtansicht'!AO16</f>
        <v>0</v>
      </c>
      <c r="AH43" s="841">
        <f>'KTR-Ausweis Gesamtansicht'!AP16</f>
        <v>0</v>
      </c>
      <c r="AI43" s="841">
        <f>'KTR-Ausweis Gesamtansicht'!AQ16</f>
        <v>0</v>
      </c>
      <c r="AJ43" s="841">
        <f>'KTR-Ausweis Gesamtansicht'!AR16</f>
        <v>0</v>
      </c>
      <c r="AK43" s="841">
        <f>'KTR-Ausweis Gesamtansicht'!AS16</f>
        <v>0</v>
      </c>
      <c r="AL43" s="841">
        <f>'KTR-Ausweis Gesamtansicht'!AT16</f>
        <v>0</v>
      </c>
      <c r="AM43" s="841">
        <f>'KTR-Ausweis Gesamtansicht'!AU16</f>
        <v>0</v>
      </c>
      <c r="AN43" s="841">
        <f>'KTR-Ausweis Gesamtansicht'!AV16</f>
        <v>0</v>
      </c>
      <c r="AO43" s="841">
        <f>'KTR-Ausweis Gesamtansicht'!AW16</f>
        <v>0</v>
      </c>
      <c r="AP43" s="841">
        <f>'KTR-Ausweis Gesamtansicht'!AX16</f>
        <v>0</v>
      </c>
      <c r="AQ43" s="841">
        <f>'KTR-Ausweis Gesamtansicht'!AY16</f>
        <v>0</v>
      </c>
      <c r="AR43" s="841">
        <f>'KTR-Ausweis Gesamtansicht'!AZ16</f>
        <v>0</v>
      </c>
      <c r="AS43" s="841">
        <f>'KTR-Ausweis Gesamtansicht'!BA16</f>
        <v>0</v>
      </c>
      <c r="AT43" s="841">
        <f>'KTR-Ausweis Gesamtansicht'!BB16</f>
        <v>0</v>
      </c>
      <c r="AU43" s="841">
        <f>'KTR-Ausweis Gesamtansicht'!BC16</f>
        <v>0</v>
      </c>
      <c r="AV43" s="841">
        <f>'KTR-Ausweis Gesamtansicht'!BD16</f>
        <v>0</v>
      </c>
      <c r="AW43" s="841">
        <f>'KTR-Ausweis Gesamtansicht'!BE16</f>
        <v>0</v>
      </c>
      <c r="AX43" s="841">
        <f>SUM(K43:AW43)</f>
        <v>0</v>
      </c>
      <c r="AY43" s="841">
        <f>'KTR-Ausweis Gesamtansicht'!BG16</f>
        <v>0</v>
      </c>
      <c r="AZ43" s="841">
        <f>'KTR-Ausweis Gesamtansicht'!BH16</f>
        <v>0</v>
      </c>
      <c r="BA43" s="841">
        <f>'KTR-Ausweis Gesamtansicht'!BI16</f>
        <v>0</v>
      </c>
      <c r="BB43" s="841">
        <f>'KTR-Ausweis Gesamtansicht'!BJ16</f>
        <v>0</v>
      </c>
      <c r="BC43" s="841">
        <f>'KTR-Ausweis Gesamtansicht'!BK16</f>
        <v>0</v>
      </c>
      <c r="BD43" s="841">
        <f>'KTR-Ausweis Gesamtansicht'!BL16</f>
        <v>0</v>
      </c>
      <c r="BE43" s="841">
        <f>'KTR-Ausweis Gesamtansicht'!BM16</f>
        <v>0</v>
      </c>
      <c r="BF43" s="841">
        <f>'KTR-Ausweis Gesamtansicht'!BN16</f>
        <v>0</v>
      </c>
      <c r="BG43" s="841">
        <f>'KTR-Ausweis Gesamtansicht'!BO16</f>
        <v>0</v>
      </c>
      <c r="BH43" s="841">
        <f>'KTR-Ausweis Gesamtansicht'!BP16</f>
        <v>0</v>
      </c>
      <c r="BI43" s="841">
        <f>'KTR-Ausweis Gesamtansicht'!BQ16</f>
        <v>0</v>
      </c>
      <c r="BJ43" s="841">
        <f>'KTR-Ausweis Gesamtansicht'!BR16</f>
        <v>0</v>
      </c>
      <c r="BK43" s="841">
        <f>SUM(AY43:BJ43)</f>
        <v>0</v>
      </c>
      <c r="BL43" s="841">
        <f>'KTR-Ausweis Gesamtansicht'!BT16</f>
        <v>0</v>
      </c>
      <c r="BM43" s="841">
        <f>'KTR-Ausweis Gesamtansicht'!BU16</f>
        <v>0</v>
      </c>
      <c r="BN43" s="841">
        <f>'KTR-Ausweis Gesamtansicht'!BV16</f>
        <v>0</v>
      </c>
    </row>
    <row r="44" spans="1:66" s="193" customFormat="1">
      <c r="A44" s="318"/>
      <c r="B44" s="182" t="s">
        <v>1397</v>
      </c>
      <c r="C44" s="1221"/>
      <c r="D44" s="1221"/>
      <c r="E44" s="1221"/>
      <c r="F44" s="1221"/>
      <c r="G44" s="1221"/>
      <c r="H44" s="1221"/>
      <c r="I44" s="1221"/>
      <c r="J44" s="841">
        <f>SUM(C44:I44)</f>
        <v>0</v>
      </c>
      <c r="K44" s="1221"/>
      <c r="L44" s="1221"/>
      <c r="M44" s="1221"/>
      <c r="N44" s="1221"/>
      <c r="O44" s="1221"/>
      <c r="P44" s="1221"/>
      <c r="Q44" s="1221"/>
      <c r="R44" s="1221"/>
      <c r="S44" s="1221"/>
      <c r="T44" s="1221"/>
      <c r="U44" s="1221"/>
      <c r="V44" s="1221"/>
      <c r="W44" s="1221"/>
      <c r="X44" s="1221"/>
      <c r="Y44" s="1221"/>
      <c r="Z44" s="1221"/>
      <c r="AA44" s="1221"/>
      <c r="AB44" s="1221"/>
      <c r="AC44" s="1221"/>
      <c r="AD44" s="1221"/>
      <c r="AE44" s="1221"/>
      <c r="AF44" s="1221"/>
      <c r="AG44" s="1221"/>
      <c r="AH44" s="1221"/>
      <c r="AI44" s="1221"/>
      <c r="AJ44" s="1221"/>
      <c r="AK44" s="1221"/>
      <c r="AL44" s="1221"/>
      <c r="AM44" s="1221"/>
      <c r="AN44" s="1221"/>
      <c r="AO44" s="1221"/>
      <c r="AP44" s="1221"/>
      <c r="AQ44" s="1221"/>
      <c r="AR44" s="1221"/>
      <c r="AS44" s="1221"/>
      <c r="AT44" s="1221"/>
      <c r="AU44" s="1221"/>
      <c r="AV44" s="1221"/>
      <c r="AW44" s="1221"/>
      <c r="AX44" s="841">
        <f>SUM(K44:AW44)</f>
        <v>0</v>
      </c>
      <c r="AY44" s="1221"/>
      <c r="AZ44" s="1221"/>
      <c r="BA44" s="1221"/>
      <c r="BB44" s="1221"/>
      <c r="BC44" s="1221"/>
      <c r="BD44" s="1221"/>
      <c r="BE44" s="1221"/>
      <c r="BF44" s="1221"/>
      <c r="BG44" s="1221"/>
      <c r="BH44" s="1221"/>
      <c r="BI44" s="1221"/>
      <c r="BJ44" s="1221"/>
      <c r="BK44" s="841">
        <f>SUM(AY44:BJ44)</f>
        <v>0</v>
      </c>
      <c r="BL44" s="1221"/>
      <c r="BM44" s="1221"/>
      <c r="BN44" s="1221"/>
    </row>
    <row r="45" spans="1:66" s="193" customFormat="1">
      <c r="A45" s="318"/>
      <c r="B45" s="182" t="s">
        <v>1395</v>
      </c>
      <c r="C45" s="183">
        <f>C43-C44</f>
        <v>0</v>
      </c>
      <c r="D45" s="183">
        <f t="shared" ref="D45:BJ45" si="31">D43-D44</f>
        <v>0</v>
      </c>
      <c r="E45" s="183">
        <f t="shared" si="31"/>
        <v>0</v>
      </c>
      <c r="F45" s="183">
        <f t="shared" si="31"/>
        <v>0</v>
      </c>
      <c r="G45" s="183">
        <f t="shared" si="31"/>
        <v>0</v>
      </c>
      <c r="H45" s="183">
        <f t="shared" si="31"/>
        <v>0</v>
      </c>
      <c r="I45" s="183">
        <f t="shared" si="31"/>
        <v>0</v>
      </c>
      <c r="J45" s="183">
        <f t="shared" si="31"/>
        <v>0</v>
      </c>
      <c r="K45" s="183">
        <f t="shared" si="31"/>
        <v>0</v>
      </c>
      <c r="L45" s="183">
        <f t="shared" si="31"/>
        <v>0</v>
      </c>
      <c r="M45" s="183">
        <f t="shared" si="31"/>
        <v>0</v>
      </c>
      <c r="N45" s="183">
        <f t="shared" si="31"/>
        <v>0</v>
      </c>
      <c r="O45" s="183">
        <f t="shared" si="31"/>
        <v>0</v>
      </c>
      <c r="P45" s="183">
        <f t="shared" si="31"/>
        <v>0</v>
      </c>
      <c r="Q45" s="183">
        <f t="shared" si="31"/>
        <v>0</v>
      </c>
      <c r="R45" s="183">
        <f t="shared" si="31"/>
        <v>0</v>
      </c>
      <c r="S45" s="183">
        <f t="shared" si="31"/>
        <v>0</v>
      </c>
      <c r="T45" s="183">
        <f t="shared" si="31"/>
        <v>0</v>
      </c>
      <c r="U45" s="183">
        <f t="shared" si="31"/>
        <v>0</v>
      </c>
      <c r="V45" s="183">
        <f t="shared" si="31"/>
        <v>0</v>
      </c>
      <c r="W45" s="183">
        <f t="shared" si="31"/>
        <v>0</v>
      </c>
      <c r="X45" s="183">
        <f t="shared" si="31"/>
        <v>0</v>
      </c>
      <c r="Y45" s="183">
        <f t="shared" si="31"/>
        <v>0</v>
      </c>
      <c r="Z45" s="183">
        <f t="shared" si="31"/>
        <v>0</v>
      </c>
      <c r="AA45" s="183">
        <f t="shared" si="31"/>
        <v>0</v>
      </c>
      <c r="AB45" s="183">
        <f t="shared" si="31"/>
        <v>0</v>
      </c>
      <c r="AC45" s="183">
        <f t="shared" si="31"/>
        <v>0</v>
      </c>
      <c r="AD45" s="183">
        <f t="shared" si="31"/>
        <v>0</v>
      </c>
      <c r="AE45" s="183">
        <f t="shared" si="31"/>
        <v>0</v>
      </c>
      <c r="AF45" s="183">
        <f t="shared" si="31"/>
        <v>0</v>
      </c>
      <c r="AG45" s="183">
        <f t="shared" si="31"/>
        <v>0</v>
      </c>
      <c r="AH45" s="183">
        <f t="shared" si="31"/>
        <v>0</v>
      </c>
      <c r="AI45" s="183">
        <f t="shared" si="31"/>
        <v>0</v>
      </c>
      <c r="AJ45" s="183">
        <f t="shared" si="31"/>
        <v>0</v>
      </c>
      <c r="AK45" s="183">
        <f t="shared" si="31"/>
        <v>0</v>
      </c>
      <c r="AL45" s="183">
        <f t="shared" si="31"/>
        <v>0</v>
      </c>
      <c r="AM45" s="183">
        <f t="shared" si="31"/>
        <v>0</v>
      </c>
      <c r="AN45" s="183">
        <f t="shared" si="31"/>
        <v>0</v>
      </c>
      <c r="AO45" s="183">
        <f t="shared" si="31"/>
        <v>0</v>
      </c>
      <c r="AP45" s="183">
        <f t="shared" si="31"/>
        <v>0</v>
      </c>
      <c r="AQ45" s="183">
        <f t="shared" si="31"/>
        <v>0</v>
      </c>
      <c r="AR45" s="183">
        <f t="shared" si="31"/>
        <v>0</v>
      </c>
      <c r="AS45" s="183">
        <f t="shared" si="31"/>
        <v>0</v>
      </c>
      <c r="AT45" s="183">
        <f t="shared" si="31"/>
        <v>0</v>
      </c>
      <c r="AU45" s="183">
        <f t="shared" si="31"/>
        <v>0</v>
      </c>
      <c r="AV45" s="183">
        <f t="shared" si="31"/>
        <v>0</v>
      </c>
      <c r="AW45" s="183">
        <f t="shared" si="31"/>
        <v>0</v>
      </c>
      <c r="AX45" s="183">
        <f t="shared" si="31"/>
        <v>0</v>
      </c>
      <c r="AY45" s="183">
        <f t="shared" si="31"/>
        <v>0</v>
      </c>
      <c r="AZ45" s="183">
        <f t="shared" si="31"/>
        <v>0</v>
      </c>
      <c r="BA45" s="183">
        <f t="shared" si="31"/>
        <v>0</v>
      </c>
      <c r="BB45" s="183">
        <f t="shared" si="31"/>
        <v>0</v>
      </c>
      <c r="BC45" s="183">
        <f t="shared" si="31"/>
        <v>0</v>
      </c>
      <c r="BD45" s="183">
        <f t="shared" si="31"/>
        <v>0</v>
      </c>
      <c r="BE45" s="183">
        <f t="shared" si="31"/>
        <v>0</v>
      </c>
      <c r="BF45" s="183">
        <f t="shared" si="31"/>
        <v>0</v>
      </c>
      <c r="BG45" s="183">
        <f t="shared" si="31"/>
        <v>0</v>
      </c>
      <c r="BH45" s="183">
        <f t="shared" si="31"/>
        <v>0</v>
      </c>
      <c r="BI45" s="183">
        <f t="shared" si="31"/>
        <v>0</v>
      </c>
      <c r="BJ45" s="183">
        <f t="shared" si="31"/>
        <v>0</v>
      </c>
      <c r="BK45" s="183">
        <f>BK43-BK44</f>
        <v>0</v>
      </c>
      <c r="BL45" s="183">
        <f t="shared" ref="BL45" si="32">BL43-BL44</f>
        <v>0</v>
      </c>
      <c r="BM45" s="183">
        <f t="shared" ref="BM45" si="33">BM43-BM44</f>
        <v>0</v>
      </c>
      <c r="BN45" s="183">
        <f t="shared" ref="BN45" si="34">BN43-BN44</f>
        <v>0</v>
      </c>
    </row>
    <row r="46" spans="1:66" s="193" customFormat="1">
      <c r="A46" s="318"/>
      <c r="B46" s="182" t="s">
        <v>97</v>
      </c>
      <c r="C46" s="844" t="e">
        <f>C45/C43</f>
        <v>#DIV/0!</v>
      </c>
      <c r="D46" s="844" t="e">
        <f t="shared" ref="D46:BK46" si="35">D45/D43</f>
        <v>#DIV/0!</v>
      </c>
      <c r="E46" s="844" t="e">
        <f t="shared" si="35"/>
        <v>#DIV/0!</v>
      </c>
      <c r="F46" s="844" t="e">
        <f t="shared" si="35"/>
        <v>#DIV/0!</v>
      </c>
      <c r="G46" s="844" t="e">
        <f t="shared" si="35"/>
        <v>#DIV/0!</v>
      </c>
      <c r="H46" s="844" t="e">
        <f t="shared" si="35"/>
        <v>#DIV/0!</v>
      </c>
      <c r="I46" s="844" t="e">
        <f t="shared" si="35"/>
        <v>#DIV/0!</v>
      </c>
      <c r="J46" s="844" t="e">
        <f t="shared" si="35"/>
        <v>#DIV/0!</v>
      </c>
      <c r="K46" s="844" t="e">
        <f t="shared" si="35"/>
        <v>#DIV/0!</v>
      </c>
      <c r="L46" s="844" t="e">
        <f t="shared" si="35"/>
        <v>#DIV/0!</v>
      </c>
      <c r="M46" s="844" t="e">
        <f t="shared" si="35"/>
        <v>#DIV/0!</v>
      </c>
      <c r="N46" s="844" t="e">
        <f t="shared" si="35"/>
        <v>#DIV/0!</v>
      </c>
      <c r="O46" s="844" t="e">
        <f t="shared" si="35"/>
        <v>#DIV/0!</v>
      </c>
      <c r="P46" s="844" t="e">
        <f t="shared" si="35"/>
        <v>#DIV/0!</v>
      </c>
      <c r="Q46" s="844" t="e">
        <f t="shared" si="35"/>
        <v>#DIV/0!</v>
      </c>
      <c r="R46" s="844" t="e">
        <f t="shared" si="35"/>
        <v>#DIV/0!</v>
      </c>
      <c r="S46" s="844" t="e">
        <f t="shared" si="35"/>
        <v>#DIV/0!</v>
      </c>
      <c r="T46" s="844" t="e">
        <f t="shared" si="35"/>
        <v>#DIV/0!</v>
      </c>
      <c r="U46" s="844" t="e">
        <f t="shared" si="35"/>
        <v>#DIV/0!</v>
      </c>
      <c r="V46" s="844" t="e">
        <f t="shared" si="35"/>
        <v>#DIV/0!</v>
      </c>
      <c r="W46" s="844" t="e">
        <f t="shared" si="35"/>
        <v>#DIV/0!</v>
      </c>
      <c r="X46" s="844" t="e">
        <f t="shared" si="35"/>
        <v>#DIV/0!</v>
      </c>
      <c r="Y46" s="844" t="e">
        <f t="shared" si="35"/>
        <v>#DIV/0!</v>
      </c>
      <c r="Z46" s="844" t="e">
        <f t="shared" si="35"/>
        <v>#DIV/0!</v>
      </c>
      <c r="AA46" s="844" t="e">
        <f t="shared" si="35"/>
        <v>#DIV/0!</v>
      </c>
      <c r="AB46" s="844" t="e">
        <f t="shared" si="35"/>
        <v>#DIV/0!</v>
      </c>
      <c r="AC46" s="844" t="e">
        <f t="shared" si="35"/>
        <v>#DIV/0!</v>
      </c>
      <c r="AD46" s="844" t="e">
        <f t="shared" si="35"/>
        <v>#DIV/0!</v>
      </c>
      <c r="AE46" s="844" t="e">
        <f t="shared" si="35"/>
        <v>#DIV/0!</v>
      </c>
      <c r="AF46" s="844" t="e">
        <f t="shared" si="35"/>
        <v>#DIV/0!</v>
      </c>
      <c r="AG46" s="844" t="e">
        <f t="shared" si="35"/>
        <v>#DIV/0!</v>
      </c>
      <c r="AH46" s="844" t="e">
        <f t="shared" si="35"/>
        <v>#DIV/0!</v>
      </c>
      <c r="AI46" s="844" t="e">
        <f t="shared" si="35"/>
        <v>#DIV/0!</v>
      </c>
      <c r="AJ46" s="844" t="e">
        <f t="shared" si="35"/>
        <v>#DIV/0!</v>
      </c>
      <c r="AK46" s="844" t="e">
        <f t="shared" si="35"/>
        <v>#DIV/0!</v>
      </c>
      <c r="AL46" s="844" t="e">
        <f t="shared" si="35"/>
        <v>#DIV/0!</v>
      </c>
      <c r="AM46" s="844" t="e">
        <f t="shared" si="35"/>
        <v>#DIV/0!</v>
      </c>
      <c r="AN46" s="844" t="e">
        <f t="shared" si="35"/>
        <v>#DIV/0!</v>
      </c>
      <c r="AO46" s="844" t="e">
        <f t="shared" si="35"/>
        <v>#DIV/0!</v>
      </c>
      <c r="AP46" s="844" t="e">
        <f t="shared" si="35"/>
        <v>#DIV/0!</v>
      </c>
      <c r="AQ46" s="844" t="e">
        <f t="shared" si="35"/>
        <v>#DIV/0!</v>
      </c>
      <c r="AR46" s="844" t="e">
        <f t="shared" si="35"/>
        <v>#DIV/0!</v>
      </c>
      <c r="AS46" s="844" t="e">
        <f t="shared" si="35"/>
        <v>#DIV/0!</v>
      </c>
      <c r="AT46" s="844" t="e">
        <f t="shared" si="35"/>
        <v>#DIV/0!</v>
      </c>
      <c r="AU46" s="844" t="e">
        <f t="shared" si="35"/>
        <v>#DIV/0!</v>
      </c>
      <c r="AV46" s="844" t="e">
        <f t="shared" si="35"/>
        <v>#DIV/0!</v>
      </c>
      <c r="AW46" s="844" t="e">
        <f t="shared" si="35"/>
        <v>#DIV/0!</v>
      </c>
      <c r="AX46" s="844" t="e">
        <f t="shared" si="35"/>
        <v>#DIV/0!</v>
      </c>
      <c r="AY46" s="844" t="e">
        <f t="shared" si="35"/>
        <v>#DIV/0!</v>
      </c>
      <c r="AZ46" s="844" t="e">
        <f t="shared" si="35"/>
        <v>#DIV/0!</v>
      </c>
      <c r="BA46" s="844" t="e">
        <f t="shared" si="35"/>
        <v>#DIV/0!</v>
      </c>
      <c r="BB46" s="844" t="e">
        <f t="shared" si="35"/>
        <v>#DIV/0!</v>
      </c>
      <c r="BC46" s="844" t="e">
        <f t="shared" si="35"/>
        <v>#DIV/0!</v>
      </c>
      <c r="BD46" s="844" t="e">
        <f t="shared" si="35"/>
        <v>#DIV/0!</v>
      </c>
      <c r="BE46" s="844" t="e">
        <f t="shared" si="35"/>
        <v>#DIV/0!</v>
      </c>
      <c r="BF46" s="844" t="e">
        <f t="shared" si="35"/>
        <v>#DIV/0!</v>
      </c>
      <c r="BG46" s="844" t="e">
        <f t="shared" si="35"/>
        <v>#DIV/0!</v>
      </c>
      <c r="BH46" s="844" t="e">
        <f t="shared" si="35"/>
        <v>#DIV/0!</v>
      </c>
      <c r="BI46" s="844" t="e">
        <f t="shared" si="35"/>
        <v>#DIV/0!</v>
      </c>
      <c r="BJ46" s="844" t="e">
        <f t="shared" si="35"/>
        <v>#DIV/0!</v>
      </c>
      <c r="BK46" s="844" t="e">
        <f t="shared" si="35"/>
        <v>#DIV/0!</v>
      </c>
      <c r="BL46" s="844" t="e">
        <f t="shared" ref="BL46" si="36">BL45/BL43</f>
        <v>#DIV/0!</v>
      </c>
      <c r="BM46" s="844" t="e">
        <f t="shared" ref="BM46" si="37">BM45/BM43</f>
        <v>#DIV/0!</v>
      </c>
      <c r="BN46" s="844" t="e">
        <f t="shared" ref="BN46" si="38">BN45/BN43</f>
        <v>#DIV/0!</v>
      </c>
    </row>
    <row r="47" spans="1:66" s="193" customFormat="1">
      <c r="A47" s="318"/>
      <c r="B47" s="188" t="s">
        <v>1399</v>
      </c>
      <c r="C47" s="843">
        <f>IF(C44=0,C43,C44)*-1</f>
        <v>0</v>
      </c>
      <c r="D47" s="843">
        <f t="shared" ref="D47:H47" si="39">IF(D44=0,D43,D44)*-1</f>
        <v>0</v>
      </c>
      <c r="E47" s="843">
        <f t="shared" si="39"/>
        <v>0</v>
      </c>
      <c r="F47" s="843">
        <f t="shared" si="39"/>
        <v>0</v>
      </c>
      <c r="G47" s="843">
        <f t="shared" si="39"/>
        <v>0</v>
      </c>
      <c r="H47" s="843">
        <f t="shared" si="39"/>
        <v>0</v>
      </c>
      <c r="I47" s="843">
        <f>IF(I44=0,I43,I44)*-1</f>
        <v>0</v>
      </c>
      <c r="J47" s="843">
        <f>SUM(C47:I47)</f>
        <v>0</v>
      </c>
      <c r="K47" s="843">
        <f t="shared" ref="K47:AW47" si="40">IF(K44=0,K43,K44)*-1</f>
        <v>0</v>
      </c>
      <c r="L47" s="843">
        <f t="shared" si="40"/>
        <v>0</v>
      </c>
      <c r="M47" s="843">
        <f t="shared" si="40"/>
        <v>0</v>
      </c>
      <c r="N47" s="843">
        <f t="shared" si="40"/>
        <v>0</v>
      </c>
      <c r="O47" s="843">
        <f t="shared" si="40"/>
        <v>0</v>
      </c>
      <c r="P47" s="843">
        <f t="shared" si="40"/>
        <v>0</v>
      </c>
      <c r="Q47" s="843">
        <f t="shared" si="40"/>
        <v>0</v>
      </c>
      <c r="R47" s="843">
        <f t="shared" si="40"/>
        <v>0</v>
      </c>
      <c r="S47" s="843">
        <f t="shared" si="40"/>
        <v>0</v>
      </c>
      <c r="T47" s="843">
        <f t="shared" si="40"/>
        <v>0</v>
      </c>
      <c r="U47" s="843">
        <f t="shared" si="40"/>
        <v>0</v>
      </c>
      <c r="V47" s="843">
        <f t="shared" si="40"/>
        <v>0</v>
      </c>
      <c r="W47" s="843">
        <f t="shared" si="40"/>
        <v>0</v>
      </c>
      <c r="X47" s="843">
        <f t="shared" si="40"/>
        <v>0</v>
      </c>
      <c r="Y47" s="843">
        <f t="shared" si="40"/>
        <v>0</v>
      </c>
      <c r="Z47" s="843">
        <f t="shared" si="40"/>
        <v>0</v>
      </c>
      <c r="AA47" s="843">
        <f t="shared" si="40"/>
        <v>0</v>
      </c>
      <c r="AB47" s="843">
        <f t="shared" si="40"/>
        <v>0</v>
      </c>
      <c r="AC47" s="843">
        <f t="shared" si="40"/>
        <v>0</v>
      </c>
      <c r="AD47" s="843">
        <f t="shared" si="40"/>
        <v>0</v>
      </c>
      <c r="AE47" s="843">
        <f t="shared" si="40"/>
        <v>0</v>
      </c>
      <c r="AF47" s="843">
        <f t="shared" si="40"/>
        <v>0</v>
      </c>
      <c r="AG47" s="843">
        <f t="shared" si="40"/>
        <v>0</v>
      </c>
      <c r="AH47" s="843">
        <f t="shared" si="40"/>
        <v>0</v>
      </c>
      <c r="AI47" s="843">
        <f t="shared" si="40"/>
        <v>0</v>
      </c>
      <c r="AJ47" s="843">
        <f t="shared" si="40"/>
        <v>0</v>
      </c>
      <c r="AK47" s="843">
        <f t="shared" si="40"/>
        <v>0</v>
      </c>
      <c r="AL47" s="843">
        <f t="shared" si="40"/>
        <v>0</v>
      </c>
      <c r="AM47" s="843">
        <f t="shared" si="40"/>
        <v>0</v>
      </c>
      <c r="AN47" s="843">
        <f t="shared" si="40"/>
        <v>0</v>
      </c>
      <c r="AO47" s="843">
        <f t="shared" si="40"/>
        <v>0</v>
      </c>
      <c r="AP47" s="843">
        <f t="shared" si="40"/>
        <v>0</v>
      </c>
      <c r="AQ47" s="843">
        <f t="shared" si="40"/>
        <v>0</v>
      </c>
      <c r="AR47" s="843">
        <f t="shared" si="40"/>
        <v>0</v>
      </c>
      <c r="AS47" s="843">
        <f t="shared" si="40"/>
        <v>0</v>
      </c>
      <c r="AT47" s="843">
        <f t="shared" si="40"/>
        <v>0</v>
      </c>
      <c r="AU47" s="843">
        <f t="shared" si="40"/>
        <v>0</v>
      </c>
      <c r="AV47" s="843">
        <f t="shared" si="40"/>
        <v>0</v>
      </c>
      <c r="AW47" s="843">
        <f t="shared" si="40"/>
        <v>0</v>
      </c>
      <c r="AX47" s="843">
        <f>SUM(K47:AW47)</f>
        <v>0</v>
      </c>
      <c r="AY47" s="843">
        <f t="shared" ref="AY47:BJ47" si="41">IF(AY44=0,AY43,AY44)*-1</f>
        <v>0</v>
      </c>
      <c r="AZ47" s="843">
        <f t="shared" si="41"/>
        <v>0</v>
      </c>
      <c r="BA47" s="843">
        <f t="shared" si="41"/>
        <v>0</v>
      </c>
      <c r="BB47" s="843">
        <f t="shared" si="41"/>
        <v>0</v>
      </c>
      <c r="BC47" s="843">
        <f t="shared" si="41"/>
        <v>0</v>
      </c>
      <c r="BD47" s="843">
        <f t="shared" si="41"/>
        <v>0</v>
      </c>
      <c r="BE47" s="843">
        <f t="shared" si="41"/>
        <v>0</v>
      </c>
      <c r="BF47" s="843">
        <f t="shared" si="41"/>
        <v>0</v>
      </c>
      <c r="BG47" s="843">
        <f t="shared" si="41"/>
        <v>0</v>
      </c>
      <c r="BH47" s="843">
        <f t="shared" si="41"/>
        <v>0</v>
      </c>
      <c r="BI47" s="843">
        <f t="shared" si="41"/>
        <v>0</v>
      </c>
      <c r="BJ47" s="843">
        <f t="shared" si="41"/>
        <v>0</v>
      </c>
      <c r="BK47" s="843">
        <f>SUM(AY47:BJ47)</f>
        <v>0</v>
      </c>
      <c r="BL47" s="843">
        <f t="shared" ref="BL47:BN47" si="42">IF(BL44=0,BL43,BL44)*-1</f>
        <v>0</v>
      </c>
      <c r="BM47" s="843">
        <f t="shared" si="42"/>
        <v>0</v>
      </c>
      <c r="BN47" s="843">
        <f t="shared" si="42"/>
        <v>0</v>
      </c>
    </row>
    <row r="48" spans="1:66" s="193" customFormat="1">
      <c r="A48" s="318"/>
      <c r="B48" s="845"/>
      <c r="C48" s="778"/>
      <c r="D48" s="778"/>
      <c r="E48" s="778"/>
      <c r="F48" s="778"/>
      <c r="G48" s="778"/>
      <c r="H48" s="778"/>
      <c r="I48" s="778"/>
      <c r="J48" s="778"/>
      <c r="K48" s="778"/>
      <c r="L48" s="778"/>
      <c r="M48" s="778"/>
      <c r="N48" s="778"/>
      <c r="O48" s="778"/>
      <c r="P48" s="778"/>
      <c r="Q48" s="778"/>
      <c r="R48" s="778"/>
      <c r="S48" s="778"/>
      <c r="T48" s="778"/>
      <c r="U48" s="778"/>
      <c r="V48" s="778"/>
      <c r="W48" s="778"/>
      <c r="X48" s="778"/>
      <c r="Y48" s="778"/>
      <c r="Z48" s="778"/>
      <c r="AA48" s="778"/>
      <c r="AB48" s="778"/>
      <c r="AC48" s="778"/>
      <c r="AD48" s="778"/>
      <c r="AE48" s="778"/>
      <c r="AF48" s="778"/>
      <c r="AG48" s="778"/>
      <c r="AH48" s="778"/>
      <c r="AI48" s="778"/>
      <c r="AJ48" s="778"/>
      <c r="AK48" s="778"/>
      <c r="AL48" s="778"/>
      <c r="AM48" s="778"/>
      <c r="AN48" s="778"/>
      <c r="AO48" s="778"/>
      <c r="AP48" s="778"/>
      <c r="AQ48" s="778"/>
      <c r="AR48" s="778"/>
      <c r="AS48" s="778"/>
      <c r="AT48" s="778"/>
      <c r="AU48" s="778"/>
      <c r="AV48" s="778"/>
      <c r="AW48" s="778"/>
      <c r="AX48" s="778"/>
      <c r="AY48" s="778"/>
      <c r="AZ48" s="778"/>
      <c r="BA48" s="778"/>
      <c r="BB48" s="778"/>
      <c r="BC48" s="778"/>
      <c r="BD48" s="778"/>
      <c r="BE48" s="778"/>
      <c r="BF48" s="778"/>
      <c r="BG48" s="778"/>
      <c r="BH48" s="778"/>
      <c r="BI48" s="778"/>
      <c r="BJ48" s="778"/>
      <c r="BK48" s="778"/>
      <c r="BL48" s="778"/>
      <c r="BM48" s="778"/>
      <c r="BN48" s="778"/>
    </row>
    <row r="49" spans="1:66" s="193" customFormat="1" ht="47.25" customHeight="1">
      <c r="A49" s="318"/>
      <c r="B49" s="845"/>
      <c r="C49" s="201" t="s">
        <v>81</v>
      </c>
      <c r="D49" s="201" t="s">
        <v>417</v>
      </c>
      <c r="E49" s="201" t="s">
        <v>392</v>
      </c>
      <c r="F49" s="201" t="s">
        <v>393</v>
      </c>
      <c r="G49" s="201" t="s">
        <v>397</v>
      </c>
      <c r="H49" s="201" t="s">
        <v>394</v>
      </c>
      <c r="I49" s="201" t="s">
        <v>395</v>
      </c>
      <c r="J49" s="319" t="s">
        <v>398</v>
      </c>
      <c r="K49" s="901" t="s">
        <v>67</v>
      </c>
      <c r="L49" s="778"/>
      <c r="M49" s="778"/>
      <c r="N49" s="778"/>
      <c r="O49" s="778"/>
      <c r="P49" s="778"/>
      <c r="Q49" s="778"/>
      <c r="R49" s="778"/>
      <c r="S49" s="778"/>
      <c r="T49" s="778"/>
      <c r="U49" s="778"/>
      <c r="V49" s="778"/>
      <c r="W49" s="778"/>
      <c r="X49" s="778"/>
      <c r="Y49" s="778"/>
      <c r="Z49" s="778"/>
      <c r="AA49" s="778"/>
      <c r="AB49" s="778"/>
      <c r="AC49" s="778"/>
      <c r="AD49" s="778"/>
      <c r="AE49" s="778"/>
      <c r="AF49" s="778"/>
      <c r="AG49" s="778"/>
      <c r="AH49" s="778"/>
      <c r="AI49" s="778"/>
      <c r="AJ49" s="778"/>
      <c r="AK49" s="778"/>
      <c r="AL49" s="778"/>
      <c r="AM49" s="778"/>
      <c r="AN49" s="778"/>
      <c r="AO49" s="778"/>
      <c r="AP49" s="778"/>
      <c r="AQ49" s="778"/>
      <c r="AR49" s="778"/>
      <c r="AS49" s="778"/>
      <c r="AT49" s="778"/>
      <c r="AU49" s="778"/>
      <c r="AV49" s="778"/>
      <c r="AW49" s="778"/>
      <c r="AX49" s="778"/>
      <c r="AY49" s="778"/>
      <c r="AZ49" s="778"/>
      <c r="BA49" s="778"/>
      <c r="BB49" s="778"/>
      <c r="BC49" s="778"/>
      <c r="BD49" s="778"/>
      <c r="BE49" s="778"/>
      <c r="BF49" s="778"/>
      <c r="BG49" s="778"/>
      <c r="BH49" s="778"/>
      <c r="BI49" s="778"/>
      <c r="BJ49" s="778"/>
      <c r="BK49" s="778"/>
      <c r="BL49" s="778"/>
      <c r="BM49" s="778"/>
      <c r="BN49" s="778"/>
    </row>
    <row r="50" spans="1:66" s="193" customFormat="1">
      <c r="A50" s="318"/>
      <c r="B50" s="182" t="s">
        <v>1394</v>
      </c>
      <c r="C50" s="841">
        <f>'KTR-Ausweis Gesamtansicht'!BX16</f>
        <v>0</v>
      </c>
      <c r="D50" s="841">
        <f>'KTR-Ausweis Gesamtansicht'!BY16</f>
        <v>0</v>
      </c>
      <c r="E50" s="841">
        <f>'KTR-Ausweis Gesamtansicht'!BZ16</f>
        <v>0</v>
      </c>
      <c r="F50" s="841">
        <f>'KTR-Ausweis Gesamtansicht'!CA16</f>
        <v>0</v>
      </c>
      <c r="G50" s="841">
        <f>'KTR-Ausweis Gesamtansicht'!CB16</f>
        <v>0</v>
      </c>
      <c r="H50" s="841">
        <f>'KTR-Ausweis Gesamtansicht'!CC16</f>
        <v>0</v>
      </c>
      <c r="I50" s="841">
        <f>'KTR-Ausweis Gesamtansicht'!CD16</f>
        <v>0</v>
      </c>
      <c r="J50" s="841">
        <f>SUM(C50:I50)</f>
        <v>0</v>
      </c>
      <c r="K50" s="841">
        <f>'KTR-Ausweis Gesamtansicht'!CV16</f>
        <v>0</v>
      </c>
      <c r="L50" s="778"/>
      <c r="M50" s="778"/>
      <c r="N50" s="778"/>
      <c r="O50" s="778"/>
      <c r="P50" s="778"/>
      <c r="Q50" s="778"/>
      <c r="R50" s="778"/>
      <c r="S50" s="778"/>
      <c r="T50" s="778"/>
      <c r="U50" s="778"/>
      <c r="V50" s="778"/>
      <c r="W50" s="778"/>
      <c r="X50" s="778"/>
      <c r="Y50" s="778"/>
      <c r="Z50" s="778"/>
      <c r="AA50" s="778"/>
      <c r="AB50" s="778"/>
      <c r="AC50" s="778"/>
      <c r="AD50" s="778"/>
      <c r="AE50" s="778"/>
      <c r="AF50" s="778"/>
      <c r="AG50" s="778"/>
      <c r="AH50" s="778"/>
      <c r="AI50" s="778"/>
      <c r="AJ50" s="778"/>
      <c r="AK50" s="778"/>
      <c r="AL50" s="778"/>
      <c r="AM50" s="778"/>
      <c r="AN50" s="778"/>
      <c r="AO50" s="778"/>
      <c r="AP50" s="778"/>
      <c r="AQ50" s="778"/>
      <c r="AR50" s="778"/>
      <c r="AS50" s="778"/>
      <c r="AT50" s="778"/>
      <c r="AU50" s="778"/>
      <c r="AV50" s="778"/>
      <c r="AW50" s="778"/>
      <c r="AX50" s="778"/>
      <c r="AY50" s="778"/>
      <c r="AZ50" s="778"/>
      <c r="BA50" s="778"/>
      <c r="BB50" s="778"/>
      <c r="BC50" s="778"/>
      <c r="BD50" s="778"/>
      <c r="BE50" s="778"/>
      <c r="BF50" s="778"/>
      <c r="BG50" s="778"/>
      <c r="BH50" s="778"/>
      <c r="BI50" s="778"/>
      <c r="BJ50" s="778"/>
      <c r="BK50" s="778"/>
      <c r="BL50" s="778"/>
      <c r="BM50" s="778"/>
      <c r="BN50" s="778"/>
    </row>
    <row r="51" spans="1:66" s="193" customFormat="1">
      <c r="A51" s="318"/>
      <c r="B51" s="182" t="s">
        <v>1397</v>
      </c>
      <c r="C51" s="1221"/>
      <c r="D51" s="1221"/>
      <c r="E51" s="1221"/>
      <c r="F51" s="1221"/>
      <c r="G51" s="1221"/>
      <c r="H51" s="1221"/>
      <c r="I51" s="1221"/>
      <c r="J51" s="841">
        <f>SUM(C51:I51)</f>
        <v>0</v>
      </c>
      <c r="K51" s="1221"/>
      <c r="L51" s="778"/>
      <c r="M51" s="778"/>
      <c r="N51" s="778"/>
      <c r="O51" s="778"/>
      <c r="P51" s="778"/>
      <c r="Q51" s="778"/>
      <c r="R51" s="778"/>
      <c r="S51" s="778"/>
      <c r="T51" s="778"/>
      <c r="U51" s="778"/>
      <c r="V51" s="778"/>
      <c r="W51" s="778"/>
      <c r="X51" s="778"/>
      <c r="Y51" s="778"/>
      <c r="Z51" s="778"/>
      <c r="AA51" s="778"/>
      <c r="AB51" s="778"/>
      <c r="AC51" s="778"/>
      <c r="AD51" s="778"/>
      <c r="AE51" s="778"/>
      <c r="AF51" s="778"/>
      <c r="AG51" s="778"/>
      <c r="AH51" s="778"/>
      <c r="AI51" s="778"/>
      <c r="AJ51" s="778"/>
      <c r="AK51" s="778"/>
      <c r="AL51" s="778"/>
      <c r="AM51" s="778"/>
      <c r="AN51" s="778"/>
      <c r="AO51" s="778"/>
      <c r="AP51" s="778"/>
      <c r="AQ51" s="778"/>
      <c r="AR51" s="778"/>
      <c r="AS51" s="778"/>
      <c r="AT51" s="778"/>
      <c r="AU51" s="778"/>
      <c r="AV51" s="778"/>
      <c r="AW51" s="778"/>
      <c r="AX51" s="778"/>
      <c r="AY51" s="778"/>
      <c r="AZ51" s="778"/>
      <c r="BA51" s="778"/>
      <c r="BB51" s="778"/>
      <c r="BC51" s="778"/>
      <c r="BD51" s="778"/>
      <c r="BE51" s="778"/>
      <c r="BF51" s="778"/>
      <c r="BG51" s="778"/>
      <c r="BH51" s="778"/>
      <c r="BI51" s="778"/>
      <c r="BJ51" s="778"/>
      <c r="BK51" s="778"/>
      <c r="BL51" s="778"/>
      <c r="BM51" s="778"/>
      <c r="BN51" s="778"/>
    </row>
    <row r="52" spans="1:66" s="193" customFormat="1">
      <c r="A52" s="318"/>
      <c r="B52" s="182" t="s">
        <v>1395</v>
      </c>
      <c r="C52" s="183">
        <f>C50-C51</f>
        <v>0</v>
      </c>
      <c r="D52" s="183">
        <f t="shared" ref="D52:K52" si="43">D50-D51</f>
        <v>0</v>
      </c>
      <c r="E52" s="183">
        <f t="shared" si="43"/>
        <v>0</v>
      </c>
      <c r="F52" s="183">
        <f t="shared" si="43"/>
        <v>0</v>
      </c>
      <c r="G52" s="183">
        <f t="shared" si="43"/>
        <v>0</v>
      </c>
      <c r="H52" s="183">
        <f t="shared" si="43"/>
        <v>0</v>
      </c>
      <c r="I52" s="183">
        <f t="shared" si="43"/>
        <v>0</v>
      </c>
      <c r="J52" s="183">
        <f t="shared" si="43"/>
        <v>0</v>
      </c>
      <c r="K52" s="183">
        <f t="shared" si="43"/>
        <v>0</v>
      </c>
      <c r="L52" s="778"/>
      <c r="M52" s="778"/>
      <c r="N52" s="778"/>
      <c r="O52" s="778"/>
      <c r="P52" s="778"/>
      <c r="Q52" s="778"/>
      <c r="R52" s="778"/>
      <c r="S52" s="778"/>
      <c r="T52" s="778"/>
      <c r="U52" s="778"/>
      <c r="V52" s="778"/>
      <c r="W52" s="778"/>
      <c r="X52" s="778"/>
      <c r="Y52" s="778"/>
      <c r="Z52" s="778"/>
      <c r="AA52" s="778"/>
      <c r="AB52" s="778"/>
      <c r="AC52" s="778"/>
      <c r="AD52" s="778"/>
      <c r="AE52" s="778"/>
      <c r="AF52" s="778"/>
      <c r="AG52" s="778"/>
      <c r="AH52" s="778"/>
      <c r="AI52" s="778"/>
      <c r="AJ52" s="778"/>
      <c r="AK52" s="778"/>
      <c r="AL52" s="778"/>
      <c r="AM52" s="778"/>
      <c r="AN52" s="778"/>
      <c r="AO52" s="778"/>
      <c r="AP52" s="778"/>
      <c r="AQ52" s="778"/>
      <c r="AR52" s="778"/>
      <c r="AS52" s="778"/>
      <c r="AT52" s="778"/>
      <c r="AU52" s="778"/>
      <c r="AV52" s="778"/>
      <c r="AW52" s="778"/>
      <c r="AX52" s="778"/>
      <c r="AY52" s="778"/>
      <c r="AZ52" s="778"/>
      <c r="BA52" s="778"/>
      <c r="BB52" s="778"/>
      <c r="BC52" s="778"/>
      <c r="BD52" s="778"/>
      <c r="BE52" s="778"/>
      <c r="BF52" s="778"/>
      <c r="BG52" s="778"/>
      <c r="BH52" s="778"/>
      <c r="BI52" s="778"/>
      <c r="BJ52" s="778"/>
      <c r="BK52" s="778"/>
      <c r="BL52" s="778"/>
      <c r="BM52" s="778"/>
      <c r="BN52" s="778"/>
    </row>
    <row r="53" spans="1:66" s="193" customFormat="1">
      <c r="A53" s="318"/>
      <c r="B53" s="182" t="s">
        <v>97</v>
      </c>
      <c r="C53" s="844" t="e">
        <f>C52/C50</f>
        <v>#DIV/0!</v>
      </c>
      <c r="D53" s="844" t="e">
        <f t="shared" ref="D53:K53" si="44">D52/D50</f>
        <v>#DIV/0!</v>
      </c>
      <c r="E53" s="844" t="e">
        <f t="shared" si="44"/>
        <v>#DIV/0!</v>
      </c>
      <c r="F53" s="844" t="e">
        <f t="shared" si="44"/>
        <v>#DIV/0!</v>
      </c>
      <c r="G53" s="844" t="e">
        <f t="shared" si="44"/>
        <v>#DIV/0!</v>
      </c>
      <c r="H53" s="844" t="e">
        <f t="shared" si="44"/>
        <v>#DIV/0!</v>
      </c>
      <c r="I53" s="844" t="e">
        <f t="shared" si="44"/>
        <v>#DIV/0!</v>
      </c>
      <c r="J53" s="844" t="e">
        <f t="shared" si="44"/>
        <v>#DIV/0!</v>
      </c>
      <c r="K53" s="844" t="e">
        <f t="shared" si="44"/>
        <v>#DIV/0!</v>
      </c>
      <c r="L53" s="778"/>
      <c r="M53" s="778"/>
      <c r="N53" s="778"/>
      <c r="O53" s="778"/>
      <c r="P53" s="778"/>
      <c r="Q53" s="778"/>
      <c r="R53" s="778"/>
      <c r="S53" s="778"/>
      <c r="T53" s="778"/>
      <c r="U53" s="778"/>
      <c r="V53" s="778"/>
      <c r="W53" s="778"/>
      <c r="X53" s="778"/>
      <c r="Y53" s="778"/>
      <c r="Z53" s="778"/>
      <c r="AA53" s="778"/>
      <c r="AB53" s="778"/>
      <c r="AC53" s="778"/>
      <c r="AD53" s="778"/>
      <c r="AE53" s="778"/>
      <c r="AF53" s="778"/>
      <c r="AG53" s="778"/>
      <c r="AH53" s="778"/>
      <c r="AI53" s="778"/>
      <c r="AJ53" s="778"/>
      <c r="AK53" s="778"/>
      <c r="AL53" s="778"/>
      <c r="AM53" s="778"/>
      <c r="AN53" s="778"/>
      <c r="AO53" s="778"/>
      <c r="AP53" s="778"/>
      <c r="AQ53" s="778"/>
      <c r="AR53" s="778"/>
      <c r="AS53" s="778"/>
      <c r="AT53" s="778"/>
      <c r="AU53" s="778"/>
      <c r="AV53" s="778"/>
      <c r="AW53" s="778"/>
      <c r="AX53" s="778"/>
      <c r="AY53" s="778"/>
      <c r="AZ53" s="778"/>
      <c r="BA53" s="778"/>
      <c r="BB53" s="778"/>
      <c r="BC53" s="778"/>
      <c r="BD53" s="778"/>
      <c r="BE53" s="778"/>
      <c r="BF53" s="778"/>
      <c r="BG53" s="778"/>
      <c r="BH53" s="778"/>
      <c r="BI53" s="778"/>
      <c r="BJ53" s="778"/>
      <c r="BK53" s="778"/>
      <c r="BL53" s="778"/>
      <c r="BM53" s="778"/>
      <c r="BN53" s="778"/>
    </row>
    <row r="54" spans="1:66" s="193" customFormat="1">
      <c r="A54" s="318"/>
      <c r="B54" s="188" t="s">
        <v>1399</v>
      </c>
      <c r="C54" s="843">
        <f>IF(C51=0,C50,C51)*-1</f>
        <v>0</v>
      </c>
      <c r="D54" s="843">
        <f t="shared" ref="D54:I54" si="45">IF(D51=0,D50,D51)*-1</f>
        <v>0</v>
      </c>
      <c r="E54" s="843">
        <f t="shared" si="45"/>
        <v>0</v>
      </c>
      <c r="F54" s="843">
        <f t="shared" si="45"/>
        <v>0</v>
      </c>
      <c r="G54" s="843">
        <f t="shared" si="45"/>
        <v>0</v>
      </c>
      <c r="H54" s="843">
        <f t="shared" si="45"/>
        <v>0</v>
      </c>
      <c r="I54" s="843">
        <f t="shared" si="45"/>
        <v>0</v>
      </c>
      <c r="J54" s="843">
        <f>SUM(C54:I54)</f>
        <v>0</v>
      </c>
      <c r="K54" s="843">
        <f>IF(K51=0,K50,K51)*-1</f>
        <v>0</v>
      </c>
      <c r="L54" s="778"/>
      <c r="M54" s="778"/>
      <c r="N54" s="778"/>
      <c r="O54" s="778"/>
      <c r="P54" s="778"/>
      <c r="Q54" s="778"/>
      <c r="R54" s="778"/>
      <c r="S54" s="778"/>
      <c r="T54" s="778"/>
      <c r="U54" s="778"/>
      <c r="V54" s="778"/>
      <c r="W54" s="778"/>
      <c r="X54" s="778"/>
      <c r="Y54" s="778"/>
      <c r="Z54" s="778"/>
      <c r="AA54" s="778"/>
      <c r="AB54" s="778"/>
      <c r="AC54" s="778"/>
      <c r="AD54" s="778"/>
      <c r="AE54" s="778"/>
      <c r="AF54" s="778"/>
      <c r="AG54" s="778"/>
      <c r="AH54" s="778"/>
      <c r="AI54" s="778"/>
      <c r="AJ54" s="778"/>
      <c r="AK54" s="778"/>
      <c r="AL54" s="778"/>
      <c r="AM54" s="778"/>
      <c r="AN54" s="778"/>
      <c r="AO54" s="778"/>
      <c r="AP54" s="778"/>
      <c r="AQ54" s="778"/>
      <c r="AR54" s="778"/>
      <c r="AS54" s="778"/>
      <c r="AT54" s="778"/>
      <c r="AU54" s="778"/>
      <c r="AV54" s="778"/>
      <c r="AW54" s="778"/>
      <c r="AX54" s="778"/>
      <c r="AY54" s="778"/>
      <c r="AZ54" s="778"/>
      <c r="BA54" s="778"/>
      <c r="BB54" s="778"/>
      <c r="BC54" s="778"/>
      <c r="BD54" s="778"/>
      <c r="BE54" s="778"/>
      <c r="BF54" s="778"/>
      <c r="BG54" s="778"/>
      <c r="BH54" s="778"/>
      <c r="BI54" s="778"/>
      <c r="BJ54" s="778"/>
      <c r="BK54" s="778"/>
      <c r="BL54" s="778"/>
      <c r="BM54" s="778"/>
      <c r="BN54" s="778"/>
    </row>
    <row r="55" spans="1:66" s="193" customFormat="1">
      <c r="A55" s="318"/>
      <c r="B55" s="318"/>
      <c r="C55" s="318"/>
      <c r="D55" s="318"/>
      <c r="E55" s="318"/>
      <c r="F55" s="318"/>
      <c r="G55" s="318"/>
      <c r="H55" s="318"/>
      <c r="I55" s="318"/>
      <c r="J55" s="318"/>
      <c r="K55" s="318"/>
      <c r="L55" s="318"/>
    </row>
    <row r="56" spans="1:66" s="193" customFormat="1">
      <c r="A56" s="318"/>
      <c r="B56" s="318"/>
      <c r="C56" s="318"/>
      <c r="D56" s="318"/>
      <c r="E56" s="318"/>
      <c r="F56" s="318"/>
      <c r="G56" s="318"/>
      <c r="H56" s="318"/>
      <c r="I56" s="318"/>
      <c r="J56" s="318"/>
      <c r="K56" s="318"/>
      <c r="L56" s="318"/>
    </row>
    <row r="57" spans="1:66" s="193" customFormat="1" ht="13.5" thickBot="1">
      <c r="A57" s="197"/>
      <c r="B57" s="197"/>
      <c r="C57" s="197"/>
      <c r="D57" s="197"/>
      <c r="E57" s="197"/>
      <c r="F57" s="197"/>
      <c r="G57" s="197"/>
      <c r="H57" s="197"/>
      <c r="I57" s="197"/>
      <c r="J57" s="197"/>
      <c r="K57" s="197"/>
      <c r="L57" s="197"/>
    </row>
    <row r="58" spans="1:66" s="193" customFormat="1">
      <c r="A58" s="318"/>
      <c r="B58" s="318"/>
      <c r="C58" s="318"/>
      <c r="D58" s="318"/>
      <c r="E58" s="318"/>
      <c r="F58" s="318"/>
      <c r="G58" s="318"/>
      <c r="H58" s="318"/>
      <c r="I58" s="318"/>
      <c r="J58" s="318"/>
      <c r="K58" s="318"/>
      <c r="L58" s="318"/>
    </row>
    <row r="59" spans="1:66" ht="18">
      <c r="A59" s="299">
        <v>3</v>
      </c>
      <c r="B59" s="300" t="s">
        <v>593</v>
      </c>
      <c r="C59" s="301"/>
      <c r="D59" s="301"/>
      <c r="E59" s="301"/>
      <c r="F59" s="301"/>
      <c r="G59" s="301"/>
      <c r="H59" s="301"/>
      <c r="I59" s="301"/>
      <c r="J59" s="301"/>
    </row>
    <row r="60" spans="1:66">
      <c r="A60" s="291"/>
    </row>
    <row r="61" spans="1:66">
      <c r="A61" s="291"/>
      <c r="B61" s="202" t="s">
        <v>136</v>
      </c>
      <c r="C61" s="203" t="s">
        <v>147</v>
      </c>
    </row>
    <row r="62" spans="1:66">
      <c r="A62" s="291"/>
      <c r="B62" s="1219"/>
      <c r="C62" s="1225"/>
    </row>
    <row r="63" spans="1:66">
      <c r="A63" s="291"/>
      <c r="B63" s="1219"/>
      <c r="C63" s="1225"/>
    </row>
    <row r="64" spans="1:66">
      <c r="A64" s="291"/>
      <c r="B64" s="1219"/>
      <c r="C64" s="1225"/>
    </row>
    <row r="65" spans="1:12">
      <c r="A65" s="291"/>
      <c r="B65" s="1219"/>
      <c r="C65" s="1225"/>
    </row>
    <row r="66" spans="1:12">
      <c r="A66" s="291"/>
      <c r="B66" s="1219"/>
      <c r="C66" s="1225"/>
    </row>
    <row r="67" spans="1:12">
      <c r="A67" s="291"/>
      <c r="B67" s="1219"/>
      <c r="C67" s="1225"/>
    </row>
    <row r="68" spans="1:12">
      <c r="A68" s="291"/>
      <c r="B68" s="1219"/>
      <c r="C68" s="1225"/>
    </row>
    <row r="69" spans="1:12">
      <c r="A69" s="291"/>
      <c r="B69" s="1219"/>
      <c r="C69" s="1225"/>
    </row>
    <row r="70" spans="1:12">
      <c r="A70" s="291"/>
      <c r="B70" s="1219"/>
      <c r="C70" s="1225"/>
    </row>
    <row r="71" spans="1:12">
      <c r="A71" s="291"/>
      <c r="B71" s="1219"/>
      <c r="C71" s="1225"/>
    </row>
    <row r="72" spans="1:12">
      <c r="A72" s="291"/>
      <c r="B72" s="1219"/>
      <c r="C72" s="1225"/>
    </row>
    <row r="73" spans="1:12">
      <c r="A73" s="291"/>
      <c r="B73" s="1219"/>
      <c r="C73" s="1225"/>
    </row>
    <row r="74" spans="1:12">
      <c r="A74" s="291"/>
      <c r="B74" s="199" t="s">
        <v>594</v>
      </c>
      <c r="C74" s="214">
        <f>SUM(C62:C73)</f>
        <v>0</v>
      </c>
    </row>
    <row r="75" spans="1:12">
      <c r="A75" s="291"/>
    </row>
    <row r="76" spans="1:12" ht="13.5" thickBot="1">
      <c r="A76" s="292"/>
      <c r="B76" s="198"/>
      <c r="C76" s="198"/>
      <c r="D76" s="198"/>
      <c r="E76" s="198"/>
      <c r="F76" s="198"/>
      <c r="G76" s="198"/>
      <c r="H76" s="198"/>
      <c r="I76" s="198"/>
      <c r="J76" s="198"/>
      <c r="K76" s="197"/>
      <c r="L76" s="197"/>
    </row>
    <row r="77" spans="1:12">
      <c r="A77" s="291"/>
    </row>
    <row r="78" spans="1:12" ht="18">
      <c r="A78" s="299">
        <v>4</v>
      </c>
      <c r="B78" s="31" t="s">
        <v>137</v>
      </c>
    </row>
    <row r="79" spans="1:12">
      <c r="A79" s="291"/>
    </row>
    <row r="80" spans="1:12">
      <c r="A80" s="291"/>
      <c r="B80" s="202" t="s">
        <v>138</v>
      </c>
      <c r="C80" s="203" t="s">
        <v>147</v>
      </c>
    </row>
    <row r="81" spans="1:12">
      <c r="A81" s="291"/>
      <c r="B81" s="1219"/>
      <c r="C81" s="1225"/>
    </row>
    <row r="82" spans="1:12">
      <c r="A82" s="291"/>
      <c r="B82" s="1219"/>
      <c r="C82" s="1225"/>
    </row>
    <row r="83" spans="1:12">
      <c r="A83" s="291"/>
      <c r="B83" s="1219"/>
      <c r="C83" s="1225"/>
    </row>
    <row r="84" spans="1:12">
      <c r="A84" s="291"/>
      <c r="B84" s="1219"/>
      <c r="C84" s="1225"/>
    </row>
    <row r="85" spans="1:12">
      <c r="A85" s="291"/>
      <c r="B85" s="1219"/>
      <c r="C85" s="1225"/>
    </row>
    <row r="86" spans="1:12">
      <c r="A86" s="291"/>
      <c r="B86" s="1219"/>
      <c r="C86" s="1225"/>
    </row>
    <row r="87" spans="1:12">
      <c r="A87" s="291"/>
      <c r="B87" s="1219"/>
      <c r="C87" s="1225"/>
    </row>
    <row r="88" spans="1:12">
      <c r="A88" s="291"/>
      <c r="B88" s="1219"/>
      <c r="C88" s="1225"/>
    </row>
    <row r="89" spans="1:12">
      <c r="A89" s="291"/>
      <c r="B89" s="1219"/>
      <c r="C89" s="1225"/>
    </row>
    <row r="90" spans="1:12">
      <c r="A90" s="291"/>
      <c r="B90" s="1219"/>
      <c r="C90" s="1225"/>
    </row>
    <row r="91" spans="1:12">
      <c r="A91" s="291"/>
      <c r="B91" s="1219"/>
      <c r="C91" s="1225"/>
    </row>
    <row r="92" spans="1:12">
      <c r="A92" s="291"/>
      <c r="B92" s="1219"/>
      <c r="C92" s="1225"/>
    </row>
    <row r="93" spans="1:12">
      <c r="A93" s="291"/>
      <c r="B93" s="296" t="s">
        <v>1475</v>
      </c>
      <c r="C93" s="214">
        <f>SUM(C81:C92)</f>
        <v>0</v>
      </c>
    </row>
    <row r="94" spans="1:12">
      <c r="A94" s="291"/>
    </row>
    <row r="95" spans="1:12" ht="13.5" thickBot="1">
      <c r="A95" s="292"/>
      <c r="B95" s="198"/>
      <c r="C95" s="198"/>
      <c r="D95" s="198"/>
      <c r="E95" s="198"/>
      <c r="F95" s="198"/>
      <c r="G95" s="198"/>
      <c r="H95" s="198"/>
      <c r="I95" s="198"/>
      <c r="J95" s="198"/>
      <c r="K95" s="198"/>
      <c r="L95" s="198"/>
    </row>
    <row r="96" spans="1:12">
      <c r="A96" s="291"/>
    </row>
    <row r="97" spans="1:3" ht="18">
      <c r="A97" s="299">
        <v>5</v>
      </c>
      <c r="B97" s="31" t="s">
        <v>139</v>
      </c>
    </row>
    <row r="98" spans="1:3">
      <c r="A98" s="291"/>
    </row>
    <row r="99" spans="1:3">
      <c r="A99" s="291"/>
      <c r="B99" s="202" t="s">
        <v>140</v>
      </c>
      <c r="C99" s="203" t="s">
        <v>147</v>
      </c>
    </row>
    <row r="100" spans="1:3">
      <c r="A100" s="291"/>
      <c r="B100" s="1219"/>
      <c r="C100" s="1225"/>
    </row>
    <row r="101" spans="1:3">
      <c r="A101" s="291"/>
      <c r="B101" s="1219"/>
      <c r="C101" s="1225"/>
    </row>
    <row r="102" spans="1:3">
      <c r="A102" s="291"/>
      <c r="B102" s="1219"/>
      <c r="C102" s="1225"/>
    </row>
    <row r="103" spans="1:3">
      <c r="A103" s="291"/>
      <c r="B103" s="1219"/>
      <c r="C103" s="1225"/>
    </row>
    <row r="104" spans="1:3">
      <c r="A104" s="291"/>
      <c r="B104" s="1219"/>
      <c r="C104" s="1225"/>
    </row>
    <row r="105" spans="1:3">
      <c r="A105" s="291"/>
      <c r="B105" s="1219"/>
      <c r="C105" s="1225"/>
    </row>
    <row r="106" spans="1:3">
      <c r="A106" s="291"/>
      <c r="B106" s="1219"/>
      <c r="C106" s="1225"/>
    </row>
    <row r="107" spans="1:3">
      <c r="A107" s="291"/>
      <c r="B107" s="1219"/>
      <c r="C107" s="1225"/>
    </row>
    <row r="108" spans="1:3">
      <c r="A108" s="291"/>
      <c r="B108" s="1219"/>
      <c r="C108" s="1225"/>
    </row>
    <row r="109" spans="1:3">
      <c r="A109" s="291"/>
      <c r="B109" s="1219"/>
      <c r="C109" s="1225"/>
    </row>
    <row r="110" spans="1:3">
      <c r="A110" s="291"/>
      <c r="B110" s="1219"/>
      <c r="C110" s="1225"/>
    </row>
    <row r="111" spans="1:3">
      <c r="A111" s="291"/>
      <c r="B111" s="1219"/>
      <c r="C111" s="1225"/>
    </row>
    <row r="112" spans="1:3">
      <c r="A112" s="291"/>
      <c r="B112" s="296" t="s">
        <v>1476</v>
      </c>
      <c r="C112" s="214">
        <f>SUM(C100:C111)</f>
        <v>0</v>
      </c>
    </row>
    <row r="113" spans="1:12">
      <c r="A113" s="291"/>
    </row>
    <row r="114" spans="1:12" ht="13.5" thickBot="1">
      <c r="A114" s="292"/>
      <c r="B114" s="198"/>
      <c r="C114" s="198"/>
      <c r="D114" s="198"/>
      <c r="E114" s="198"/>
      <c r="F114" s="198"/>
      <c r="G114" s="198"/>
      <c r="H114" s="198"/>
      <c r="I114" s="198"/>
      <c r="J114" s="198"/>
      <c r="K114" s="198"/>
      <c r="L114" s="198"/>
    </row>
    <row r="115" spans="1:12">
      <c r="A115" s="291"/>
    </row>
    <row r="116" spans="1:12" ht="18">
      <c r="A116" s="299">
        <v>6</v>
      </c>
      <c r="B116" s="302" t="s">
        <v>148</v>
      </c>
      <c r="C116" s="301"/>
      <c r="D116" s="301"/>
    </row>
    <row r="117" spans="1:12">
      <c r="A117" s="291"/>
      <c r="E117" s="225"/>
    </row>
    <row r="118" spans="1:12">
      <c r="A118" s="291"/>
      <c r="B118" s="202" t="s">
        <v>149</v>
      </c>
      <c r="C118" s="203" t="s">
        <v>150</v>
      </c>
      <c r="E118" s="225"/>
    </row>
    <row r="119" spans="1:12">
      <c r="A119" s="225"/>
      <c r="B119" s="1226"/>
      <c r="C119" s="1227"/>
      <c r="D119" s="225"/>
      <c r="E119" s="225"/>
    </row>
    <row r="120" spans="1:12">
      <c r="A120" s="225"/>
      <c r="B120" s="1226"/>
      <c r="C120" s="1227"/>
      <c r="D120" s="225"/>
      <c r="E120" s="225"/>
    </row>
    <row r="121" spans="1:12">
      <c r="A121" s="225"/>
      <c r="B121" s="1226"/>
      <c r="C121" s="1227"/>
      <c r="D121" s="225"/>
      <c r="E121" s="225"/>
    </row>
    <row r="122" spans="1:12">
      <c r="A122" s="225"/>
      <c r="B122" s="1226"/>
      <c r="C122" s="1227"/>
      <c r="D122" s="225"/>
      <c r="E122" s="225"/>
    </row>
    <row r="123" spans="1:12">
      <c r="A123" s="225"/>
      <c r="B123" s="1226"/>
      <c r="C123" s="1227"/>
      <c r="D123" s="225"/>
      <c r="E123" s="225"/>
    </row>
    <row r="124" spans="1:12">
      <c r="A124" s="225"/>
      <c r="B124" s="1226"/>
      <c r="C124" s="1227"/>
      <c r="D124" s="225"/>
      <c r="E124" s="225"/>
    </row>
    <row r="125" spans="1:12">
      <c r="A125" s="225"/>
      <c r="B125" s="1226"/>
      <c r="C125" s="1227"/>
      <c r="D125" s="225"/>
      <c r="E125" s="225"/>
    </row>
    <row r="126" spans="1:12">
      <c r="A126" s="225"/>
      <c r="B126" s="1226"/>
      <c r="C126" s="1227"/>
      <c r="D126" s="225"/>
      <c r="E126" s="225"/>
    </row>
    <row r="127" spans="1:12">
      <c r="A127" s="225"/>
      <c r="B127" s="1226"/>
      <c r="C127" s="1227"/>
      <c r="D127" s="225"/>
      <c r="E127" s="225"/>
    </row>
    <row r="128" spans="1:12">
      <c r="A128" s="225"/>
      <c r="B128" s="1226"/>
      <c r="C128" s="1227"/>
      <c r="D128" s="225"/>
      <c r="E128" s="225"/>
    </row>
    <row r="129" spans="1:12">
      <c r="A129" s="225"/>
      <c r="B129" s="1226"/>
      <c r="C129" s="1227"/>
      <c r="D129" s="225"/>
      <c r="E129" s="225"/>
    </row>
    <row r="130" spans="1:12">
      <c r="A130" s="225"/>
      <c r="B130" s="1226"/>
      <c r="C130" s="1227"/>
      <c r="D130" s="225"/>
      <c r="E130" s="225"/>
    </row>
    <row r="131" spans="1:12">
      <c r="A131" s="225"/>
      <c r="B131" s="224"/>
      <c r="C131" s="297"/>
      <c r="D131" s="298"/>
      <c r="E131" s="225"/>
    </row>
    <row r="132" spans="1:12" ht="13.5" thickBot="1">
      <c r="A132" s="198"/>
      <c r="B132" s="198"/>
      <c r="C132" s="198"/>
      <c r="D132" s="198"/>
      <c r="E132" s="198"/>
      <c r="F132" s="198"/>
      <c r="G132" s="198"/>
      <c r="H132" s="198"/>
      <c r="I132" s="198"/>
      <c r="J132" s="198"/>
      <c r="K132" s="198"/>
      <c r="L132" s="198"/>
    </row>
    <row r="133" spans="1:12">
      <c r="A133" s="291"/>
    </row>
    <row r="134" spans="1:12" ht="18">
      <c r="A134" s="299">
        <v>7</v>
      </c>
      <c r="B134" s="302" t="s">
        <v>603</v>
      </c>
      <c r="C134" s="301"/>
      <c r="D134" s="301"/>
    </row>
    <row r="135" spans="1:12" ht="38.25" customHeight="1">
      <c r="A135" s="299"/>
      <c r="B135" s="1386" t="s">
        <v>605</v>
      </c>
      <c r="C135" s="1386"/>
      <c r="D135" s="301"/>
    </row>
    <row r="136" spans="1:12">
      <c r="A136" s="291"/>
      <c r="B136" s="202" t="s">
        <v>149</v>
      </c>
      <c r="C136" s="203" t="s">
        <v>150</v>
      </c>
      <c r="E136" s="225"/>
    </row>
    <row r="137" spans="1:12">
      <c r="A137" s="225"/>
      <c r="B137" s="1219"/>
      <c r="C137" s="1225"/>
      <c r="D137" s="225"/>
      <c r="E137" s="225"/>
    </row>
    <row r="138" spans="1:12">
      <c r="B138" s="1219"/>
      <c r="C138" s="1225"/>
    </row>
    <row r="139" spans="1:12">
      <c r="B139" s="1219"/>
      <c r="C139" s="1225"/>
    </row>
    <row r="140" spans="1:12">
      <c r="B140" s="1219"/>
      <c r="C140" s="1225"/>
    </row>
    <row r="141" spans="1:12">
      <c r="B141" s="1219"/>
      <c r="C141" s="1225"/>
    </row>
    <row r="142" spans="1:12">
      <c r="B142" s="723" t="s">
        <v>1446</v>
      </c>
      <c r="C142" s="214">
        <f>SUM(C137:C141)</f>
        <v>0</v>
      </c>
    </row>
    <row r="143" spans="1:12">
      <c r="A143" s="225"/>
      <c r="B143" s="224"/>
      <c r="C143" s="297"/>
      <c r="D143" s="298"/>
      <c r="E143" s="225"/>
    </row>
    <row r="144" spans="1:12" ht="13.5" thickBot="1">
      <c r="A144" s="198"/>
      <c r="B144" s="198"/>
      <c r="C144" s="198"/>
      <c r="D144" s="198"/>
      <c r="E144" s="198"/>
      <c r="F144" s="198"/>
      <c r="G144" s="198"/>
      <c r="H144" s="198"/>
      <c r="I144" s="198"/>
      <c r="J144" s="198"/>
      <c r="K144" s="198"/>
      <c r="L144" s="198"/>
    </row>
    <row r="145" spans="1:12">
      <c r="A145" s="291"/>
    </row>
    <row r="146" spans="1:12" ht="18">
      <c r="A146" s="299">
        <v>8</v>
      </c>
      <c r="B146" s="302" t="s">
        <v>601</v>
      </c>
      <c r="C146" s="301"/>
      <c r="D146" s="301"/>
    </row>
    <row r="147" spans="1:12" ht="38.25" customHeight="1">
      <c r="A147" s="299"/>
      <c r="B147" s="1386" t="s">
        <v>604</v>
      </c>
      <c r="C147" s="1386"/>
      <c r="D147" s="301"/>
    </row>
    <row r="148" spans="1:12">
      <c r="A148" s="291"/>
      <c r="B148" s="202" t="s">
        <v>149</v>
      </c>
      <c r="C148" s="203" t="s">
        <v>150</v>
      </c>
      <c r="E148" s="225"/>
    </row>
    <row r="149" spans="1:12">
      <c r="A149" s="225"/>
      <c r="B149" s="1219"/>
      <c r="C149" s="1225"/>
      <c r="D149" s="225"/>
      <c r="E149" s="225"/>
    </row>
    <row r="150" spans="1:12">
      <c r="B150" s="1219"/>
      <c r="C150" s="1225"/>
    </row>
    <row r="151" spans="1:12">
      <c r="B151" s="1219"/>
      <c r="C151" s="1225"/>
    </row>
    <row r="152" spans="1:12">
      <c r="B152" s="1219"/>
      <c r="C152" s="1225"/>
    </row>
    <row r="153" spans="1:12">
      <c r="B153" s="1219"/>
      <c r="C153" s="1225"/>
    </row>
    <row r="154" spans="1:12">
      <c r="B154" s="723" t="s">
        <v>602</v>
      </c>
      <c r="C154" s="214">
        <f>SUM(C149:C153)</f>
        <v>0</v>
      </c>
    </row>
    <row r="155" spans="1:12">
      <c r="A155" s="225"/>
      <c r="B155" s="224"/>
      <c r="C155" s="297"/>
      <c r="D155" s="298"/>
      <c r="E155" s="225"/>
    </row>
    <row r="156" spans="1:12" ht="13.5" thickBot="1">
      <c r="A156" s="198"/>
      <c r="B156" s="198"/>
      <c r="C156" s="198"/>
      <c r="D156" s="198"/>
      <c r="E156" s="198"/>
      <c r="F156" s="198"/>
      <c r="G156" s="198"/>
      <c r="H156" s="198"/>
      <c r="I156" s="198"/>
      <c r="J156" s="198"/>
      <c r="K156" s="198"/>
      <c r="L156" s="198"/>
    </row>
  </sheetData>
  <sheetProtection password="8B2B" sheet="1" objects="1" scenarios="1" formatCells="0" formatColumns="0" formatRows="0"/>
  <mergeCells count="6">
    <mergeCell ref="G1:H1"/>
    <mergeCell ref="B1:F1"/>
    <mergeCell ref="B37:B38"/>
    <mergeCell ref="B21:E21"/>
    <mergeCell ref="B147:C147"/>
    <mergeCell ref="B135:C135"/>
  </mergeCells>
  <pageMargins left="0.25" right="0.25" top="0.75" bottom="0.75" header="0.3" footer="0.3"/>
  <pageSetup paperSize="8" scale="1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>
    <tabColor rgb="FF00B050"/>
    <pageSetUpPr fitToPage="1"/>
  </sheetPr>
  <dimension ref="A1:W624"/>
  <sheetViews>
    <sheetView showGridLines="0" zoomScale="75" zoomScaleNormal="75"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O8" sqref="O8:O19"/>
    </sheetView>
  </sheetViews>
  <sheetFormatPr baseColWidth="10" defaultColWidth="11.42578125" defaultRowHeight="12.75" outlineLevelRow="1"/>
  <cols>
    <col min="1" max="1" width="2.85546875" style="1170" bestFit="1" customWidth="1"/>
    <col min="2" max="2" width="16.140625" style="1170" customWidth="1"/>
    <col min="3" max="3" width="28.5703125" style="1170" customWidth="1"/>
    <col min="4" max="4" width="22" style="1170" customWidth="1"/>
    <col min="5" max="5" width="55" style="1170" customWidth="1"/>
    <col min="6" max="6" width="15.85546875" style="1170" customWidth="1"/>
    <col min="7" max="7" width="11.28515625" style="1335" customWidth="1"/>
    <col min="8" max="8" width="14.28515625" style="1336" customWidth="1"/>
    <col min="9" max="9" width="11.28515625" style="1335" customWidth="1"/>
    <col min="10" max="10" width="14.28515625" style="1336" customWidth="1"/>
    <col min="11" max="11" width="11.28515625" style="1335" customWidth="1"/>
    <col min="12" max="12" width="14.28515625" style="1336" customWidth="1"/>
    <col min="13" max="13" width="11.28515625" style="1335" customWidth="1"/>
    <col min="14" max="14" width="14.28515625" style="1336" customWidth="1"/>
    <col min="15" max="15" width="11.28515625" style="1335" customWidth="1"/>
    <col min="16" max="16" width="14.28515625" style="1336" customWidth="1"/>
    <col min="17" max="17" width="11.28515625" style="1335" customWidth="1"/>
    <col min="18" max="18" width="14.28515625" style="1336" customWidth="1"/>
    <col min="19" max="19" width="11.28515625" style="1335" customWidth="1"/>
    <col min="20" max="20" width="14.28515625" style="1336" customWidth="1"/>
    <col min="21" max="21" width="11.28515625" style="1337" customWidth="1"/>
    <col min="22" max="22" width="13.140625" style="1337" customWidth="1"/>
    <col min="23" max="16384" width="11.42578125" style="1170"/>
  </cols>
  <sheetData>
    <row r="1" spans="1:23" ht="38.25" customHeight="1">
      <c r="A1" s="1228">
        <v>1</v>
      </c>
      <c r="B1" s="1450" t="s">
        <v>591</v>
      </c>
      <c r="C1" s="1450"/>
      <c r="D1" s="1450"/>
      <c r="E1" s="1450"/>
      <c r="F1" s="1450"/>
      <c r="G1" s="1229"/>
      <c r="H1" s="1230"/>
      <c r="I1" s="1231"/>
      <c r="J1" s="1230"/>
      <c r="K1" s="1231"/>
      <c r="L1" s="1230"/>
      <c r="M1" s="1231"/>
      <c r="N1" s="1230"/>
      <c r="O1" s="1231"/>
      <c r="P1" s="1230"/>
      <c r="Q1" s="1231"/>
      <c r="R1" s="1230"/>
      <c r="S1" s="1231"/>
      <c r="T1" s="1230"/>
      <c r="U1" s="1232"/>
      <c r="V1" s="1232"/>
    </row>
    <row r="2" spans="1:23" ht="18">
      <c r="A2" s="1228"/>
      <c r="B2" s="1387">
        <f>'ITAR_K Gesamtansicht'!C3</f>
        <v>0</v>
      </c>
      <c r="C2" s="1387"/>
      <c r="D2" s="1387"/>
      <c r="E2" s="1387"/>
      <c r="F2" s="1387"/>
      <c r="G2" s="1229"/>
      <c r="H2" s="1230"/>
      <c r="I2" s="1231"/>
      <c r="J2" s="1230"/>
      <c r="K2" s="1231"/>
      <c r="L2" s="1230"/>
      <c r="M2" s="1231"/>
      <c r="N2" s="1230"/>
      <c r="O2" s="1231"/>
      <c r="P2" s="1230"/>
      <c r="Q2" s="1231"/>
      <c r="R2" s="1230"/>
      <c r="S2" s="1231"/>
      <c r="T2" s="1230"/>
      <c r="U2" s="1232"/>
      <c r="V2" s="1232"/>
    </row>
    <row r="3" spans="1:23" ht="44.25" customHeight="1">
      <c r="A3" s="1233"/>
      <c r="B3" s="1234" t="s">
        <v>532</v>
      </c>
      <c r="C3" s="1234" t="s">
        <v>173</v>
      </c>
      <c r="D3" s="1234" t="s">
        <v>675</v>
      </c>
      <c r="E3" s="1234" t="s">
        <v>2044</v>
      </c>
      <c r="F3" s="1234" t="s">
        <v>147</v>
      </c>
      <c r="G3" s="1451" t="s">
        <v>92</v>
      </c>
      <c r="H3" s="1436"/>
      <c r="I3" s="1436" t="s">
        <v>79</v>
      </c>
      <c r="J3" s="1436"/>
      <c r="K3" s="1436" t="s">
        <v>12</v>
      </c>
      <c r="L3" s="1436"/>
      <c r="M3" s="1436" t="s">
        <v>80</v>
      </c>
      <c r="N3" s="1436"/>
      <c r="O3" s="1436" t="s">
        <v>128</v>
      </c>
      <c r="P3" s="1436"/>
      <c r="Q3" s="1436" t="s">
        <v>539</v>
      </c>
      <c r="R3" s="1436"/>
      <c r="S3" s="1436" t="s">
        <v>540</v>
      </c>
      <c r="T3" s="1436"/>
      <c r="U3" s="1436" t="s">
        <v>84</v>
      </c>
      <c r="V3" s="1437"/>
    </row>
    <row r="4" spans="1:23" s="668" customFormat="1" ht="14.25">
      <c r="A4" s="1233"/>
      <c r="B4" s="1235">
        <v>1</v>
      </c>
      <c r="C4" s="1235">
        <v>2</v>
      </c>
      <c r="D4" s="1235">
        <v>3</v>
      </c>
      <c r="E4" s="1235">
        <v>4</v>
      </c>
      <c r="F4" s="1235">
        <v>5</v>
      </c>
      <c r="G4" s="1236" t="s">
        <v>174</v>
      </c>
      <c r="H4" s="1236" t="s">
        <v>175</v>
      </c>
      <c r="I4" s="1236" t="s">
        <v>174</v>
      </c>
      <c r="J4" s="1236" t="s">
        <v>175</v>
      </c>
      <c r="K4" s="1236" t="s">
        <v>174</v>
      </c>
      <c r="L4" s="1236" t="s">
        <v>175</v>
      </c>
      <c r="M4" s="1236" t="s">
        <v>174</v>
      </c>
      <c r="N4" s="1236" t="s">
        <v>175</v>
      </c>
      <c r="O4" s="1236" t="s">
        <v>174</v>
      </c>
      <c r="P4" s="1236" t="s">
        <v>175</v>
      </c>
      <c r="Q4" s="1236" t="s">
        <v>174</v>
      </c>
      <c r="R4" s="1236" t="s">
        <v>175</v>
      </c>
      <c r="S4" s="1236" t="s">
        <v>174</v>
      </c>
      <c r="T4" s="1236" t="s">
        <v>175</v>
      </c>
      <c r="U4" s="1236" t="s">
        <v>174</v>
      </c>
      <c r="V4" s="1237" t="s">
        <v>175</v>
      </c>
    </row>
    <row r="5" spans="1:23" s="742" customFormat="1" ht="14.25">
      <c r="A5" s="1238"/>
      <c r="B5" s="1239"/>
      <c r="C5" s="1240"/>
      <c r="D5" s="1240"/>
      <c r="E5" s="1240"/>
      <c r="F5" s="1240"/>
      <c r="G5" s="1241"/>
      <c r="H5" s="1241"/>
      <c r="I5" s="1241"/>
      <c r="J5" s="1241"/>
      <c r="K5" s="1241"/>
      <c r="L5" s="1241"/>
      <c r="M5" s="1241"/>
      <c r="N5" s="1241"/>
      <c r="O5" s="1241"/>
      <c r="P5" s="1241"/>
      <c r="Q5" s="1241"/>
      <c r="R5" s="1241"/>
      <c r="S5" s="1241"/>
      <c r="T5" s="1241"/>
      <c r="U5" s="1241"/>
      <c r="V5" s="1242"/>
    </row>
    <row r="6" spans="1:23" s="755" customFormat="1" ht="15.75">
      <c r="A6" s="1233"/>
      <c r="B6" s="1440" t="s">
        <v>533</v>
      </c>
      <c r="C6" s="1441"/>
      <c r="D6" s="1441"/>
      <c r="E6" s="1441"/>
      <c r="F6" s="1442"/>
      <c r="G6" s="1243"/>
      <c r="H6" s="1244"/>
      <c r="I6" s="1243"/>
      <c r="J6" s="1244"/>
      <c r="K6" s="1243"/>
      <c r="L6" s="1244"/>
      <c r="M6" s="1243"/>
      <c r="N6" s="1244"/>
      <c r="O6" s="1243"/>
      <c r="P6" s="1244"/>
      <c r="Q6" s="1243"/>
      <c r="R6" s="1244"/>
      <c r="S6" s="1243"/>
      <c r="T6" s="1244"/>
      <c r="U6" s="1244"/>
      <c r="V6" s="1245"/>
    </row>
    <row r="7" spans="1:23" s="306" customFormat="1" ht="15.75" outlineLevel="1" thickBot="1">
      <c r="A7" s="1233"/>
      <c r="B7" s="1443" t="s">
        <v>689</v>
      </c>
      <c r="C7" s="1444" t="s">
        <v>690</v>
      </c>
      <c r="D7" s="1445" t="s">
        <v>690</v>
      </c>
      <c r="E7" s="1446"/>
      <c r="F7" s="1446"/>
      <c r="G7" s="1246"/>
      <c r="H7" s="1247"/>
      <c r="I7" s="1248"/>
      <c r="J7" s="1247"/>
      <c r="K7" s="1248"/>
      <c r="L7" s="1247"/>
      <c r="M7" s="1248"/>
      <c r="N7" s="1247"/>
      <c r="O7" s="1248"/>
      <c r="P7" s="1247"/>
      <c r="Q7" s="1248"/>
      <c r="R7" s="1247"/>
      <c r="S7" s="1248"/>
      <c r="T7" s="1247"/>
      <c r="U7" s="1249"/>
      <c r="V7" s="1250"/>
    </row>
    <row r="8" spans="1:23" s="755" customFormat="1" ht="24" outlineLevel="1">
      <c r="A8" s="1233"/>
      <c r="B8" s="1421" t="s">
        <v>1478</v>
      </c>
      <c r="C8" s="1447" t="s">
        <v>690</v>
      </c>
      <c r="D8" s="1251" t="s">
        <v>176</v>
      </c>
      <c r="E8" s="1251" t="s">
        <v>177</v>
      </c>
      <c r="F8" s="1433">
        <v>562.5</v>
      </c>
      <c r="G8" s="1424"/>
      <c r="H8" s="1401">
        <f>$F$8*G8</f>
        <v>0</v>
      </c>
      <c r="I8" s="1424"/>
      <c r="J8" s="1401">
        <f>$F$8*I8</f>
        <v>0</v>
      </c>
      <c r="K8" s="1424"/>
      <c r="L8" s="1401">
        <f>$F$8*K8</f>
        <v>0</v>
      </c>
      <c r="M8" s="1424"/>
      <c r="N8" s="1401">
        <f>$F$8*M8</f>
        <v>0</v>
      </c>
      <c r="O8" s="1424"/>
      <c r="P8" s="1401">
        <f>$F$8*O8</f>
        <v>0</v>
      </c>
      <c r="Q8" s="1424"/>
      <c r="R8" s="1401">
        <f>$F$8*Q8</f>
        <v>0</v>
      </c>
      <c r="S8" s="1424"/>
      <c r="T8" s="1417">
        <f>$F$8*S8</f>
        <v>0</v>
      </c>
      <c r="U8" s="1438">
        <f>G8+I8+K8+M8+O8+Q8+S8</f>
        <v>0</v>
      </c>
      <c r="V8" s="1439">
        <f>U8*F8</f>
        <v>0</v>
      </c>
    </row>
    <row r="9" spans="1:23" s="755" customFormat="1" ht="24" outlineLevel="1">
      <c r="A9" s="1233"/>
      <c r="B9" s="1422"/>
      <c r="C9" s="1448"/>
      <c r="D9" s="1251" t="s">
        <v>178</v>
      </c>
      <c r="E9" s="1251" t="s">
        <v>179</v>
      </c>
      <c r="F9" s="1434"/>
      <c r="G9" s="1424"/>
      <c r="H9" s="1401"/>
      <c r="I9" s="1424"/>
      <c r="J9" s="1401"/>
      <c r="K9" s="1424"/>
      <c r="L9" s="1401"/>
      <c r="M9" s="1424"/>
      <c r="N9" s="1401"/>
      <c r="O9" s="1424"/>
      <c r="P9" s="1401"/>
      <c r="Q9" s="1424"/>
      <c r="R9" s="1401"/>
      <c r="S9" s="1424"/>
      <c r="T9" s="1417"/>
      <c r="U9" s="1416"/>
      <c r="V9" s="1429"/>
    </row>
    <row r="10" spans="1:23" s="755" customFormat="1" ht="24" outlineLevel="1">
      <c r="A10" s="1233"/>
      <c r="B10" s="1422"/>
      <c r="C10" s="1448"/>
      <c r="D10" s="1251" t="s">
        <v>180</v>
      </c>
      <c r="E10" s="1251" t="s">
        <v>181</v>
      </c>
      <c r="F10" s="1434"/>
      <c r="G10" s="1424"/>
      <c r="H10" s="1401"/>
      <c r="I10" s="1424"/>
      <c r="J10" s="1401"/>
      <c r="K10" s="1424"/>
      <c r="L10" s="1401"/>
      <c r="M10" s="1424"/>
      <c r="N10" s="1401"/>
      <c r="O10" s="1424"/>
      <c r="P10" s="1401"/>
      <c r="Q10" s="1424"/>
      <c r="R10" s="1401"/>
      <c r="S10" s="1424"/>
      <c r="T10" s="1417"/>
      <c r="U10" s="1416"/>
      <c r="V10" s="1429"/>
    </row>
    <row r="11" spans="1:23" s="755" customFormat="1" ht="24" outlineLevel="1">
      <c r="A11" s="1233"/>
      <c r="B11" s="1422"/>
      <c r="C11" s="1448"/>
      <c r="D11" s="1251" t="s">
        <v>182</v>
      </c>
      <c r="E11" s="1251" t="s">
        <v>183</v>
      </c>
      <c r="F11" s="1434"/>
      <c r="G11" s="1424"/>
      <c r="H11" s="1401"/>
      <c r="I11" s="1424"/>
      <c r="J11" s="1401"/>
      <c r="K11" s="1424"/>
      <c r="L11" s="1401"/>
      <c r="M11" s="1424"/>
      <c r="N11" s="1401"/>
      <c r="O11" s="1424"/>
      <c r="P11" s="1401"/>
      <c r="Q11" s="1424"/>
      <c r="R11" s="1401"/>
      <c r="S11" s="1424"/>
      <c r="T11" s="1417"/>
      <c r="U11" s="1416"/>
      <c r="V11" s="1429"/>
    </row>
    <row r="12" spans="1:23" s="755" customFormat="1" ht="24" outlineLevel="1">
      <c r="A12" s="1233"/>
      <c r="B12" s="1422"/>
      <c r="C12" s="1448"/>
      <c r="D12" s="1251" t="s">
        <v>184</v>
      </c>
      <c r="E12" s="1251" t="s">
        <v>185</v>
      </c>
      <c r="F12" s="1434"/>
      <c r="G12" s="1424"/>
      <c r="H12" s="1401"/>
      <c r="I12" s="1424"/>
      <c r="J12" s="1401"/>
      <c r="K12" s="1424"/>
      <c r="L12" s="1401"/>
      <c r="M12" s="1424"/>
      <c r="N12" s="1401"/>
      <c r="O12" s="1424"/>
      <c r="P12" s="1401"/>
      <c r="Q12" s="1424"/>
      <c r="R12" s="1401"/>
      <c r="S12" s="1424"/>
      <c r="T12" s="1417"/>
      <c r="U12" s="1416"/>
      <c r="V12" s="1429"/>
    </row>
    <row r="13" spans="1:23" s="755" customFormat="1" ht="24" outlineLevel="1">
      <c r="A13" s="1233"/>
      <c r="B13" s="1422"/>
      <c r="C13" s="1448"/>
      <c r="D13" s="1251" t="s">
        <v>186</v>
      </c>
      <c r="E13" s="1251" t="s">
        <v>187</v>
      </c>
      <c r="F13" s="1434"/>
      <c r="G13" s="1424"/>
      <c r="H13" s="1401"/>
      <c r="I13" s="1424"/>
      <c r="J13" s="1401"/>
      <c r="K13" s="1424"/>
      <c r="L13" s="1401"/>
      <c r="M13" s="1424"/>
      <c r="N13" s="1401"/>
      <c r="O13" s="1424"/>
      <c r="P13" s="1401"/>
      <c r="Q13" s="1424"/>
      <c r="R13" s="1401"/>
      <c r="S13" s="1424"/>
      <c r="T13" s="1417"/>
      <c r="U13" s="1416"/>
      <c r="V13" s="1429"/>
      <c r="W13" s="758"/>
    </row>
    <row r="14" spans="1:23" s="755" customFormat="1" ht="24" outlineLevel="1">
      <c r="A14" s="1233"/>
      <c r="B14" s="1422"/>
      <c r="C14" s="1448"/>
      <c r="D14" s="1251" t="s">
        <v>188</v>
      </c>
      <c r="E14" s="1251" t="s">
        <v>189</v>
      </c>
      <c r="F14" s="1434"/>
      <c r="G14" s="1424"/>
      <c r="H14" s="1401"/>
      <c r="I14" s="1424"/>
      <c r="J14" s="1401"/>
      <c r="K14" s="1424"/>
      <c r="L14" s="1401"/>
      <c r="M14" s="1424"/>
      <c r="N14" s="1401"/>
      <c r="O14" s="1424"/>
      <c r="P14" s="1401"/>
      <c r="Q14" s="1424"/>
      <c r="R14" s="1401"/>
      <c r="S14" s="1424"/>
      <c r="T14" s="1417"/>
      <c r="U14" s="1416"/>
      <c r="V14" s="1429"/>
    </row>
    <row r="15" spans="1:23" s="755" customFormat="1" ht="24" outlineLevel="1">
      <c r="A15" s="1233"/>
      <c r="B15" s="1422"/>
      <c r="C15" s="1448"/>
      <c r="D15" s="1251" t="s">
        <v>190</v>
      </c>
      <c r="E15" s="1251" t="s">
        <v>191</v>
      </c>
      <c r="F15" s="1434"/>
      <c r="G15" s="1424"/>
      <c r="H15" s="1401"/>
      <c r="I15" s="1424"/>
      <c r="J15" s="1401"/>
      <c r="K15" s="1424"/>
      <c r="L15" s="1401"/>
      <c r="M15" s="1424"/>
      <c r="N15" s="1401"/>
      <c r="O15" s="1424"/>
      <c r="P15" s="1401"/>
      <c r="Q15" s="1424"/>
      <c r="R15" s="1401"/>
      <c r="S15" s="1424"/>
      <c r="T15" s="1417"/>
      <c r="U15" s="1416"/>
      <c r="V15" s="1429"/>
    </row>
    <row r="16" spans="1:23" s="755" customFormat="1" ht="24" outlineLevel="1">
      <c r="A16" s="1233"/>
      <c r="B16" s="1422"/>
      <c r="C16" s="1448"/>
      <c r="D16" s="1251" t="s">
        <v>192</v>
      </c>
      <c r="E16" s="1251" t="s">
        <v>193</v>
      </c>
      <c r="F16" s="1434"/>
      <c r="G16" s="1424"/>
      <c r="H16" s="1401"/>
      <c r="I16" s="1424"/>
      <c r="J16" s="1401"/>
      <c r="K16" s="1424"/>
      <c r="L16" s="1401"/>
      <c r="M16" s="1424"/>
      <c r="N16" s="1401"/>
      <c r="O16" s="1424"/>
      <c r="P16" s="1401"/>
      <c r="Q16" s="1424"/>
      <c r="R16" s="1401"/>
      <c r="S16" s="1424"/>
      <c r="T16" s="1417"/>
      <c r="U16" s="1416"/>
      <c r="V16" s="1429"/>
    </row>
    <row r="17" spans="1:22" s="755" customFormat="1" ht="24" outlineLevel="1">
      <c r="A17" s="1233"/>
      <c r="B17" s="1422"/>
      <c r="C17" s="1448"/>
      <c r="D17" s="1251" t="s">
        <v>194</v>
      </c>
      <c r="E17" s="1251" t="s">
        <v>195</v>
      </c>
      <c r="F17" s="1434"/>
      <c r="G17" s="1424"/>
      <c r="H17" s="1401"/>
      <c r="I17" s="1424"/>
      <c r="J17" s="1401"/>
      <c r="K17" s="1424"/>
      <c r="L17" s="1401"/>
      <c r="M17" s="1424"/>
      <c r="N17" s="1401"/>
      <c r="O17" s="1424"/>
      <c r="P17" s="1401"/>
      <c r="Q17" s="1424"/>
      <c r="R17" s="1401"/>
      <c r="S17" s="1424"/>
      <c r="T17" s="1417"/>
      <c r="U17" s="1416"/>
      <c r="V17" s="1429"/>
    </row>
    <row r="18" spans="1:22" s="755" customFormat="1" ht="24" outlineLevel="1">
      <c r="A18" s="1233"/>
      <c r="B18" s="1422"/>
      <c r="C18" s="1448"/>
      <c r="D18" s="1251" t="s">
        <v>196</v>
      </c>
      <c r="E18" s="1251" t="s">
        <v>197</v>
      </c>
      <c r="F18" s="1434"/>
      <c r="G18" s="1424"/>
      <c r="H18" s="1401"/>
      <c r="I18" s="1424"/>
      <c r="J18" s="1401"/>
      <c r="K18" s="1424"/>
      <c r="L18" s="1401"/>
      <c r="M18" s="1424"/>
      <c r="N18" s="1401"/>
      <c r="O18" s="1424"/>
      <c r="P18" s="1401"/>
      <c r="Q18" s="1424"/>
      <c r="R18" s="1401"/>
      <c r="S18" s="1424"/>
      <c r="T18" s="1417"/>
      <c r="U18" s="1416"/>
      <c r="V18" s="1429"/>
    </row>
    <row r="19" spans="1:22" s="755" customFormat="1" ht="24" outlineLevel="1">
      <c r="B19" s="1423"/>
      <c r="C19" s="1449"/>
      <c r="D19" s="1251" t="s">
        <v>198</v>
      </c>
      <c r="E19" s="1251" t="s">
        <v>199</v>
      </c>
      <c r="F19" s="1435"/>
      <c r="G19" s="1424"/>
      <c r="H19" s="1401"/>
      <c r="I19" s="1424"/>
      <c r="J19" s="1401"/>
      <c r="K19" s="1424"/>
      <c r="L19" s="1401"/>
      <c r="M19" s="1424"/>
      <c r="N19" s="1401"/>
      <c r="O19" s="1424"/>
      <c r="P19" s="1401"/>
      <c r="Q19" s="1424"/>
      <c r="R19" s="1401"/>
      <c r="S19" s="1424"/>
      <c r="T19" s="1417"/>
      <c r="U19" s="1416"/>
      <c r="V19" s="1429"/>
    </row>
    <row r="20" spans="1:22" s="755" customFormat="1" ht="14.25" customHeight="1" outlineLevel="1">
      <c r="B20" s="1252" t="s">
        <v>1480</v>
      </c>
      <c r="C20" s="1253" t="s">
        <v>200</v>
      </c>
      <c r="D20" s="1254"/>
      <c r="E20" s="1255"/>
      <c r="F20" s="1253"/>
      <c r="G20" s="1351"/>
      <c r="H20" s="1256"/>
      <c r="I20" s="1352"/>
      <c r="J20" s="1256"/>
      <c r="K20" s="1352"/>
      <c r="L20" s="1256"/>
      <c r="M20" s="1352"/>
      <c r="N20" s="1256"/>
      <c r="O20" s="1352"/>
      <c r="P20" s="1256"/>
      <c r="Q20" s="1352"/>
      <c r="R20" s="1256"/>
      <c r="S20" s="1352"/>
      <c r="T20" s="1256"/>
      <c r="U20" s="1257"/>
      <c r="V20" s="1258"/>
    </row>
    <row r="21" spans="1:22" s="755" customFormat="1" ht="12.75" customHeight="1" outlineLevel="1">
      <c r="B21" s="1420" t="s">
        <v>1479</v>
      </c>
      <c r="C21" s="1453" t="s">
        <v>691</v>
      </c>
      <c r="D21" s="1251" t="s">
        <v>201</v>
      </c>
      <c r="E21" s="1251" t="s">
        <v>202</v>
      </c>
      <c r="F21" s="1419">
        <v>960.5</v>
      </c>
      <c r="G21" s="1402"/>
      <c r="H21" s="1401">
        <f>$F$21*G21</f>
        <v>0</v>
      </c>
      <c r="I21" s="1402"/>
      <c r="J21" s="1401">
        <f>$F$21*I21</f>
        <v>0</v>
      </c>
      <c r="K21" s="1402"/>
      <c r="L21" s="1401">
        <f>$F$21*K21</f>
        <v>0</v>
      </c>
      <c r="M21" s="1402"/>
      <c r="N21" s="1401">
        <f>$F$21*M21</f>
        <v>0</v>
      </c>
      <c r="O21" s="1402"/>
      <c r="P21" s="1401">
        <f>$F$21*O21</f>
        <v>0</v>
      </c>
      <c r="Q21" s="1402"/>
      <c r="R21" s="1401">
        <f>$F$21*Q21</f>
        <v>0</v>
      </c>
      <c r="S21" s="1402"/>
      <c r="T21" s="1417">
        <f>$F$21*S21</f>
        <v>0</v>
      </c>
      <c r="U21" s="1416">
        <f>G21+I21+K21+M21+O21+Q21+S21</f>
        <v>0</v>
      </c>
      <c r="V21" s="1429">
        <f>U21*F21</f>
        <v>0</v>
      </c>
    </row>
    <row r="22" spans="1:22" s="755" customFormat="1" ht="36" outlineLevel="1">
      <c r="B22" s="1420"/>
      <c r="C22" s="1453"/>
      <c r="D22" s="1251" t="s">
        <v>203</v>
      </c>
      <c r="E22" s="1251" t="s">
        <v>204</v>
      </c>
      <c r="F22" s="1419"/>
      <c r="G22" s="1402"/>
      <c r="H22" s="1401"/>
      <c r="I22" s="1402"/>
      <c r="J22" s="1401"/>
      <c r="K22" s="1402"/>
      <c r="L22" s="1401"/>
      <c r="M22" s="1402"/>
      <c r="N22" s="1401"/>
      <c r="O22" s="1402"/>
      <c r="P22" s="1401"/>
      <c r="Q22" s="1402"/>
      <c r="R22" s="1401"/>
      <c r="S22" s="1402"/>
      <c r="T22" s="1417"/>
      <c r="U22" s="1416"/>
      <c r="V22" s="1429"/>
    </row>
    <row r="23" spans="1:22" s="755" customFormat="1" ht="24" outlineLevel="1">
      <c r="B23" s="1420"/>
      <c r="C23" s="1453"/>
      <c r="D23" s="1251" t="s">
        <v>205</v>
      </c>
      <c r="E23" s="1251" t="s">
        <v>206</v>
      </c>
      <c r="F23" s="1419"/>
      <c r="G23" s="1402"/>
      <c r="H23" s="1401"/>
      <c r="I23" s="1402"/>
      <c r="J23" s="1401"/>
      <c r="K23" s="1402"/>
      <c r="L23" s="1401"/>
      <c r="M23" s="1402"/>
      <c r="N23" s="1401"/>
      <c r="O23" s="1402"/>
      <c r="P23" s="1401"/>
      <c r="Q23" s="1402"/>
      <c r="R23" s="1401"/>
      <c r="S23" s="1402"/>
      <c r="T23" s="1417"/>
      <c r="U23" s="1416"/>
      <c r="V23" s="1429"/>
    </row>
    <row r="24" spans="1:22" s="755" customFormat="1" ht="36" outlineLevel="1">
      <c r="B24" s="1420"/>
      <c r="C24" s="1453"/>
      <c r="D24" s="1251" t="s">
        <v>207</v>
      </c>
      <c r="E24" s="1251" t="s">
        <v>208</v>
      </c>
      <c r="F24" s="1419"/>
      <c r="G24" s="1402"/>
      <c r="H24" s="1401"/>
      <c r="I24" s="1402"/>
      <c r="J24" s="1401"/>
      <c r="K24" s="1402"/>
      <c r="L24" s="1401"/>
      <c r="M24" s="1402"/>
      <c r="N24" s="1401"/>
      <c r="O24" s="1402"/>
      <c r="P24" s="1401"/>
      <c r="Q24" s="1402"/>
      <c r="R24" s="1401"/>
      <c r="S24" s="1402"/>
      <c r="T24" s="1417"/>
      <c r="U24" s="1416"/>
      <c r="V24" s="1429"/>
    </row>
    <row r="25" spans="1:22" s="755" customFormat="1" ht="36" outlineLevel="1">
      <c r="B25" s="1420"/>
      <c r="C25" s="1453"/>
      <c r="D25" s="1251" t="s">
        <v>209</v>
      </c>
      <c r="E25" s="1251" t="s">
        <v>210</v>
      </c>
      <c r="F25" s="1419"/>
      <c r="G25" s="1402"/>
      <c r="H25" s="1401"/>
      <c r="I25" s="1402"/>
      <c r="J25" s="1401"/>
      <c r="K25" s="1402"/>
      <c r="L25" s="1401"/>
      <c r="M25" s="1402"/>
      <c r="N25" s="1401"/>
      <c r="O25" s="1402"/>
      <c r="P25" s="1401"/>
      <c r="Q25" s="1402"/>
      <c r="R25" s="1401"/>
      <c r="S25" s="1402"/>
      <c r="T25" s="1417"/>
      <c r="U25" s="1416"/>
      <c r="V25" s="1429"/>
    </row>
    <row r="26" spans="1:22" s="755" customFormat="1" ht="24" outlineLevel="1">
      <c r="B26" s="1420"/>
      <c r="C26" s="1453"/>
      <c r="D26" s="1251" t="s">
        <v>211</v>
      </c>
      <c r="E26" s="1251" t="s">
        <v>212</v>
      </c>
      <c r="F26" s="1419"/>
      <c r="G26" s="1402"/>
      <c r="H26" s="1401"/>
      <c r="I26" s="1402"/>
      <c r="J26" s="1401"/>
      <c r="K26" s="1402"/>
      <c r="L26" s="1401"/>
      <c r="M26" s="1402"/>
      <c r="N26" s="1401"/>
      <c r="O26" s="1402"/>
      <c r="P26" s="1401"/>
      <c r="Q26" s="1402"/>
      <c r="R26" s="1401"/>
      <c r="S26" s="1402"/>
      <c r="T26" s="1417"/>
      <c r="U26" s="1416"/>
      <c r="V26" s="1429"/>
    </row>
    <row r="27" spans="1:22" s="755" customFormat="1" ht="36" outlineLevel="1">
      <c r="B27" s="1420"/>
      <c r="C27" s="1453"/>
      <c r="D27" s="1251" t="s">
        <v>213</v>
      </c>
      <c r="E27" s="1251" t="s">
        <v>214</v>
      </c>
      <c r="F27" s="1419"/>
      <c r="G27" s="1402"/>
      <c r="H27" s="1401"/>
      <c r="I27" s="1402"/>
      <c r="J27" s="1401"/>
      <c r="K27" s="1402"/>
      <c r="L27" s="1401"/>
      <c r="M27" s="1402"/>
      <c r="N27" s="1401"/>
      <c r="O27" s="1402"/>
      <c r="P27" s="1401"/>
      <c r="Q27" s="1402"/>
      <c r="R27" s="1401"/>
      <c r="S27" s="1402"/>
      <c r="T27" s="1417"/>
      <c r="U27" s="1416"/>
      <c r="V27" s="1429"/>
    </row>
    <row r="28" spans="1:22" s="755" customFormat="1" ht="36" outlineLevel="1">
      <c r="B28" s="1420"/>
      <c r="C28" s="1453"/>
      <c r="D28" s="1251" t="s">
        <v>215</v>
      </c>
      <c r="E28" s="1251" t="s">
        <v>216</v>
      </c>
      <c r="F28" s="1419"/>
      <c r="G28" s="1402"/>
      <c r="H28" s="1401"/>
      <c r="I28" s="1402"/>
      <c r="J28" s="1401"/>
      <c r="K28" s="1402"/>
      <c r="L28" s="1401"/>
      <c r="M28" s="1402"/>
      <c r="N28" s="1401"/>
      <c r="O28" s="1402"/>
      <c r="P28" s="1401"/>
      <c r="Q28" s="1402"/>
      <c r="R28" s="1401"/>
      <c r="S28" s="1402"/>
      <c r="T28" s="1417"/>
      <c r="U28" s="1416"/>
      <c r="V28" s="1429"/>
    </row>
    <row r="29" spans="1:22" s="755" customFormat="1" ht="24" customHeight="1" outlineLevel="1">
      <c r="B29" s="1420" t="s">
        <v>1481</v>
      </c>
      <c r="C29" s="1418" t="s">
        <v>217</v>
      </c>
      <c r="D29" s="1251" t="s">
        <v>218</v>
      </c>
      <c r="E29" s="1251" t="s">
        <v>219</v>
      </c>
      <c r="F29" s="1419">
        <v>2393.25</v>
      </c>
      <c r="G29" s="1402"/>
      <c r="H29" s="1401">
        <f>$F$29*G29</f>
        <v>0</v>
      </c>
      <c r="I29" s="1402"/>
      <c r="J29" s="1401">
        <f>$F$29*I29</f>
        <v>0</v>
      </c>
      <c r="K29" s="1402"/>
      <c r="L29" s="1401">
        <f>$F$29*K29</f>
        <v>0</v>
      </c>
      <c r="M29" s="1402"/>
      <c r="N29" s="1401">
        <f>$F$29*M29</f>
        <v>0</v>
      </c>
      <c r="O29" s="1402"/>
      <c r="P29" s="1401">
        <f>$F$29*O29</f>
        <v>0</v>
      </c>
      <c r="Q29" s="1402"/>
      <c r="R29" s="1401">
        <f>$F$29*Q29</f>
        <v>0</v>
      </c>
      <c r="S29" s="1402"/>
      <c r="T29" s="1417">
        <f>$F$29*S29</f>
        <v>0</v>
      </c>
      <c r="U29" s="1416">
        <f>G29+I29+K29+M29+O29+Q29+S29</f>
        <v>0</v>
      </c>
      <c r="V29" s="1429">
        <f>U29*F29</f>
        <v>0</v>
      </c>
    </row>
    <row r="30" spans="1:22" s="755" customFormat="1" ht="36" outlineLevel="1">
      <c r="B30" s="1420"/>
      <c r="C30" s="1418"/>
      <c r="D30" s="1251" t="s">
        <v>220</v>
      </c>
      <c r="E30" s="1251" t="s">
        <v>221</v>
      </c>
      <c r="F30" s="1419"/>
      <c r="G30" s="1402"/>
      <c r="H30" s="1401"/>
      <c r="I30" s="1402"/>
      <c r="J30" s="1401"/>
      <c r="K30" s="1402"/>
      <c r="L30" s="1401"/>
      <c r="M30" s="1402"/>
      <c r="N30" s="1401"/>
      <c r="O30" s="1402"/>
      <c r="P30" s="1401"/>
      <c r="Q30" s="1402"/>
      <c r="R30" s="1401"/>
      <c r="S30" s="1402"/>
      <c r="T30" s="1417"/>
      <c r="U30" s="1416"/>
      <c r="V30" s="1429"/>
    </row>
    <row r="31" spans="1:22" s="755" customFormat="1" ht="36" outlineLevel="1">
      <c r="B31" s="1420"/>
      <c r="C31" s="1418"/>
      <c r="D31" s="1251" t="s">
        <v>222</v>
      </c>
      <c r="E31" s="1251" t="s">
        <v>223</v>
      </c>
      <c r="F31" s="1419"/>
      <c r="G31" s="1402"/>
      <c r="H31" s="1401"/>
      <c r="I31" s="1402"/>
      <c r="J31" s="1401"/>
      <c r="K31" s="1402"/>
      <c r="L31" s="1401"/>
      <c r="M31" s="1402"/>
      <c r="N31" s="1401"/>
      <c r="O31" s="1402"/>
      <c r="P31" s="1401"/>
      <c r="Q31" s="1402"/>
      <c r="R31" s="1401"/>
      <c r="S31" s="1402"/>
      <c r="T31" s="1417"/>
      <c r="U31" s="1416"/>
      <c r="V31" s="1429"/>
    </row>
    <row r="32" spans="1:22" s="755" customFormat="1" ht="36" outlineLevel="1">
      <c r="B32" s="1420"/>
      <c r="C32" s="1418"/>
      <c r="D32" s="1251" t="s">
        <v>224</v>
      </c>
      <c r="E32" s="1251" t="s">
        <v>225</v>
      </c>
      <c r="F32" s="1419"/>
      <c r="G32" s="1402"/>
      <c r="H32" s="1401"/>
      <c r="I32" s="1402"/>
      <c r="J32" s="1401"/>
      <c r="K32" s="1402"/>
      <c r="L32" s="1401"/>
      <c r="M32" s="1402"/>
      <c r="N32" s="1401"/>
      <c r="O32" s="1402"/>
      <c r="P32" s="1401"/>
      <c r="Q32" s="1402"/>
      <c r="R32" s="1401"/>
      <c r="S32" s="1402"/>
      <c r="T32" s="1417"/>
      <c r="U32" s="1416"/>
      <c r="V32" s="1429"/>
    </row>
    <row r="33" spans="2:22" s="755" customFormat="1" ht="36" outlineLevel="1">
      <c r="B33" s="1420"/>
      <c r="C33" s="1418"/>
      <c r="D33" s="1251" t="s">
        <v>226</v>
      </c>
      <c r="E33" s="1251" t="s">
        <v>227</v>
      </c>
      <c r="F33" s="1419"/>
      <c r="G33" s="1402"/>
      <c r="H33" s="1401"/>
      <c r="I33" s="1402"/>
      <c r="J33" s="1401"/>
      <c r="K33" s="1402"/>
      <c r="L33" s="1401"/>
      <c r="M33" s="1402"/>
      <c r="N33" s="1401"/>
      <c r="O33" s="1402"/>
      <c r="P33" s="1401"/>
      <c r="Q33" s="1402"/>
      <c r="R33" s="1401"/>
      <c r="S33" s="1402"/>
      <c r="T33" s="1417"/>
      <c r="U33" s="1416"/>
      <c r="V33" s="1429"/>
    </row>
    <row r="34" spans="2:22" s="755" customFormat="1" ht="24" outlineLevel="1">
      <c r="B34" s="1420"/>
      <c r="C34" s="1418"/>
      <c r="D34" s="1251" t="s">
        <v>228</v>
      </c>
      <c r="E34" s="1251" t="s">
        <v>229</v>
      </c>
      <c r="F34" s="1419"/>
      <c r="G34" s="1402"/>
      <c r="H34" s="1401"/>
      <c r="I34" s="1402"/>
      <c r="J34" s="1401"/>
      <c r="K34" s="1402"/>
      <c r="L34" s="1401"/>
      <c r="M34" s="1402"/>
      <c r="N34" s="1401"/>
      <c r="O34" s="1402"/>
      <c r="P34" s="1401"/>
      <c r="Q34" s="1402"/>
      <c r="R34" s="1401"/>
      <c r="S34" s="1402"/>
      <c r="T34" s="1417"/>
      <c r="U34" s="1416"/>
      <c r="V34" s="1429"/>
    </row>
    <row r="35" spans="2:22" s="755" customFormat="1" ht="36" outlineLevel="1">
      <c r="B35" s="1420"/>
      <c r="C35" s="1418"/>
      <c r="D35" s="1251" t="s">
        <v>230</v>
      </c>
      <c r="E35" s="1251" t="s">
        <v>231</v>
      </c>
      <c r="F35" s="1419"/>
      <c r="G35" s="1402"/>
      <c r="H35" s="1401"/>
      <c r="I35" s="1402"/>
      <c r="J35" s="1401"/>
      <c r="K35" s="1402"/>
      <c r="L35" s="1401"/>
      <c r="M35" s="1402"/>
      <c r="N35" s="1401"/>
      <c r="O35" s="1402"/>
      <c r="P35" s="1401"/>
      <c r="Q35" s="1402"/>
      <c r="R35" s="1401"/>
      <c r="S35" s="1402"/>
      <c r="T35" s="1417"/>
      <c r="U35" s="1416"/>
      <c r="V35" s="1429"/>
    </row>
    <row r="36" spans="2:22" s="755" customFormat="1" ht="36" outlineLevel="1">
      <c r="B36" s="1420"/>
      <c r="C36" s="1418"/>
      <c r="D36" s="1251" t="s">
        <v>232</v>
      </c>
      <c r="E36" s="1251" t="s">
        <v>233</v>
      </c>
      <c r="F36" s="1419"/>
      <c r="G36" s="1402"/>
      <c r="H36" s="1401"/>
      <c r="I36" s="1402"/>
      <c r="J36" s="1401"/>
      <c r="K36" s="1402"/>
      <c r="L36" s="1401"/>
      <c r="M36" s="1402"/>
      <c r="N36" s="1401"/>
      <c r="O36" s="1402"/>
      <c r="P36" s="1401"/>
      <c r="Q36" s="1402"/>
      <c r="R36" s="1401"/>
      <c r="S36" s="1402"/>
      <c r="T36" s="1417"/>
      <c r="U36" s="1416"/>
      <c r="V36" s="1429"/>
    </row>
    <row r="37" spans="2:22" s="755" customFormat="1" ht="24" customHeight="1" outlineLevel="1">
      <c r="B37" s="1420" t="s">
        <v>1482</v>
      </c>
      <c r="C37" s="1418" t="s">
        <v>234</v>
      </c>
      <c r="D37" s="1251" t="s">
        <v>235</v>
      </c>
      <c r="E37" s="1251" t="s">
        <v>236</v>
      </c>
      <c r="F37" s="1419">
        <v>4781.2</v>
      </c>
      <c r="G37" s="1402"/>
      <c r="H37" s="1401">
        <f>$F$37*G37</f>
        <v>0</v>
      </c>
      <c r="I37" s="1402"/>
      <c r="J37" s="1401">
        <f>$F$37*I37</f>
        <v>0</v>
      </c>
      <c r="K37" s="1402"/>
      <c r="L37" s="1401">
        <f>$F$37*K37</f>
        <v>0</v>
      </c>
      <c r="M37" s="1402"/>
      <c r="N37" s="1401">
        <f>$F$37*M37</f>
        <v>0</v>
      </c>
      <c r="O37" s="1402"/>
      <c r="P37" s="1401">
        <f>$F$37*O37</f>
        <v>0</v>
      </c>
      <c r="Q37" s="1402"/>
      <c r="R37" s="1401">
        <f>$F$37*Q37</f>
        <v>0</v>
      </c>
      <c r="S37" s="1402"/>
      <c r="T37" s="1401">
        <f>$F$37*S37</f>
        <v>0</v>
      </c>
      <c r="U37" s="1416">
        <f>G37+I37+K37+M37+O37+Q37+S37</f>
        <v>0</v>
      </c>
      <c r="V37" s="1429">
        <f>U37*F37</f>
        <v>0</v>
      </c>
    </row>
    <row r="38" spans="2:22" s="755" customFormat="1" ht="36" outlineLevel="1">
      <c r="B38" s="1420"/>
      <c r="C38" s="1418"/>
      <c r="D38" s="1251" t="s">
        <v>237</v>
      </c>
      <c r="E38" s="1251" t="s">
        <v>238</v>
      </c>
      <c r="F38" s="1419"/>
      <c r="G38" s="1402"/>
      <c r="H38" s="1401"/>
      <c r="I38" s="1402"/>
      <c r="J38" s="1401"/>
      <c r="K38" s="1402"/>
      <c r="L38" s="1401"/>
      <c r="M38" s="1402"/>
      <c r="N38" s="1401"/>
      <c r="O38" s="1402"/>
      <c r="P38" s="1401"/>
      <c r="Q38" s="1402"/>
      <c r="R38" s="1401"/>
      <c r="S38" s="1402"/>
      <c r="T38" s="1401"/>
      <c r="U38" s="1416"/>
      <c r="V38" s="1429"/>
    </row>
    <row r="39" spans="2:22" s="755" customFormat="1" ht="36" outlineLevel="1">
      <c r="B39" s="1420"/>
      <c r="C39" s="1418"/>
      <c r="D39" s="1251" t="s">
        <v>239</v>
      </c>
      <c r="E39" s="1251" t="s">
        <v>240</v>
      </c>
      <c r="F39" s="1419"/>
      <c r="G39" s="1402"/>
      <c r="H39" s="1401"/>
      <c r="I39" s="1402"/>
      <c r="J39" s="1401"/>
      <c r="K39" s="1402"/>
      <c r="L39" s="1401"/>
      <c r="M39" s="1402"/>
      <c r="N39" s="1401"/>
      <c r="O39" s="1402"/>
      <c r="P39" s="1401"/>
      <c r="Q39" s="1402"/>
      <c r="R39" s="1401"/>
      <c r="S39" s="1402"/>
      <c r="T39" s="1401"/>
      <c r="U39" s="1416"/>
      <c r="V39" s="1429"/>
    </row>
    <row r="40" spans="2:22" s="755" customFormat="1" ht="36" outlineLevel="1">
      <c r="B40" s="1420"/>
      <c r="C40" s="1418"/>
      <c r="D40" s="1251" t="s">
        <v>241</v>
      </c>
      <c r="E40" s="1251" t="s">
        <v>242</v>
      </c>
      <c r="F40" s="1419"/>
      <c r="G40" s="1402"/>
      <c r="H40" s="1401"/>
      <c r="I40" s="1402"/>
      <c r="J40" s="1401"/>
      <c r="K40" s="1402"/>
      <c r="L40" s="1401"/>
      <c r="M40" s="1402"/>
      <c r="N40" s="1401"/>
      <c r="O40" s="1402"/>
      <c r="P40" s="1401"/>
      <c r="Q40" s="1402"/>
      <c r="R40" s="1401"/>
      <c r="S40" s="1402"/>
      <c r="T40" s="1401"/>
      <c r="U40" s="1416"/>
      <c r="V40" s="1429"/>
    </row>
    <row r="41" spans="2:22" s="755" customFormat="1" ht="36" outlineLevel="1">
      <c r="B41" s="1420"/>
      <c r="C41" s="1418"/>
      <c r="D41" s="1251" t="s">
        <v>243</v>
      </c>
      <c r="E41" s="1251" t="s">
        <v>244</v>
      </c>
      <c r="F41" s="1419"/>
      <c r="G41" s="1402"/>
      <c r="H41" s="1401"/>
      <c r="I41" s="1402"/>
      <c r="J41" s="1401"/>
      <c r="K41" s="1402"/>
      <c r="L41" s="1401"/>
      <c r="M41" s="1402"/>
      <c r="N41" s="1401"/>
      <c r="O41" s="1402"/>
      <c r="P41" s="1401"/>
      <c r="Q41" s="1402"/>
      <c r="R41" s="1401"/>
      <c r="S41" s="1402"/>
      <c r="T41" s="1401"/>
      <c r="U41" s="1416"/>
      <c r="V41" s="1429"/>
    </row>
    <row r="42" spans="2:22" s="755" customFormat="1" ht="24" outlineLevel="1">
      <c r="B42" s="1420"/>
      <c r="C42" s="1418"/>
      <c r="D42" s="1251" t="s">
        <v>245</v>
      </c>
      <c r="E42" s="1251" t="s">
        <v>246</v>
      </c>
      <c r="F42" s="1419"/>
      <c r="G42" s="1402"/>
      <c r="H42" s="1401"/>
      <c r="I42" s="1402"/>
      <c r="J42" s="1401"/>
      <c r="K42" s="1402"/>
      <c r="L42" s="1401"/>
      <c r="M42" s="1402"/>
      <c r="N42" s="1401"/>
      <c r="O42" s="1402"/>
      <c r="P42" s="1401"/>
      <c r="Q42" s="1402"/>
      <c r="R42" s="1401"/>
      <c r="S42" s="1402"/>
      <c r="T42" s="1401"/>
      <c r="U42" s="1416"/>
      <c r="V42" s="1429"/>
    </row>
    <row r="43" spans="2:22" s="755" customFormat="1" ht="36" outlineLevel="1">
      <c r="B43" s="1420"/>
      <c r="C43" s="1418"/>
      <c r="D43" s="1251" t="s">
        <v>247</v>
      </c>
      <c r="E43" s="1251" t="s">
        <v>248</v>
      </c>
      <c r="F43" s="1419"/>
      <c r="G43" s="1402"/>
      <c r="H43" s="1401"/>
      <c r="I43" s="1402"/>
      <c r="J43" s="1401"/>
      <c r="K43" s="1402"/>
      <c r="L43" s="1401"/>
      <c r="M43" s="1402"/>
      <c r="N43" s="1401"/>
      <c r="O43" s="1402"/>
      <c r="P43" s="1401"/>
      <c r="Q43" s="1402"/>
      <c r="R43" s="1401"/>
      <c r="S43" s="1402"/>
      <c r="T43" s="1401"/>
      <c r="U43" s="1416"/>
      <c r="V43" s="1429"/>
    </row>
    <row r="44" spans="2:22" s="755" customFormat="1" ht="22.9" customHeight="1" outlineLevel="1">
      <c r="B44" s="1420"/>
      <c r="C44" s="1418"/>
      <c r="D44" s="1251" t="s">
        <v>249</v>
      </c>
      <c r="E44" s="1251" t="s">
        <v>250</v>
      </c>
      <c r="F44" s="1419"/>
      <c r="G44" s="1402"/>
      <c r="H44" s="1401"/>
      <c r="I44" s="1402"/>
      <c r="J44" s="1401"/>
      <c r="K44" s="1402"/>
      <c r="L44" s="1401"/>
      <c r="M44" s="1402"/>
      <c r="N44" s="1401"/>
      <c r="O44" s="1402"/>
      <c r="P44" s="1401"/>
      <c r="Q44" s="1402"/>
      <c r="R44" s="1401"/>
      <c r="S44" s="1402"/>
      <c r="T44" s="1401"/>
      <c r="U44" s="1416"/>
      <c r="V44" s="1429"/>
    </row>
    <row r="45" spans="2:22" s="755" customFormat="1" ht="24" customHeight="1" outlineLevel="1">
      <c r="B45" s="1420" t="s">
        <v>1483</v>
      </c>
      <c r="C45" s="1418" t="s">
        <v>251</v>
      </c>
      <c r="D45" s="1251" t="s">
        <v>252</v>
      </c>
      <c r="E45" s="1251" t="s">
        <v>253</v>
      </c>
      <c r="F45" s="1419">
        <v>8601.9</v>
      </c>
      <c r="G45" s="1402"/>
      <c r="H45" s="1401">
        <f>$F$45*G45</f>
        <v>0</v>
      </c>
      <c r="I45" s="1402"/>
      <c r="J45" s="1401">
        <f>$F$45*I45</f>
        <v>0</v>
      </c>
      <c r="K45" s="1402"/>
      <c r="L45" s="1401">
        <f>$F$45*K45</f>
        <v>0</v>
      </c>
      <c r="M45" s="1402"/>
      <c r="N45" s="1401">
        <f>$F$45*M45</f>
        <v>0</v>
      </c>
      <c r="O45" s="1402"/>
      <c r="P45" s="1401">
        <f>$F$45*O45</f>
        <v>0</v>
      </c>
      <c r="Q45" s="1402"/>
      <c r="R45" s="1401">
        <f>$F$45*Q45</f>
        <v>0</v>
      </c>
      <c r="S45" s="1402"/>
      <c r="T45" s="1401">
        <f>$F$45*S45</f>
        <v>0</v>
      </c>
      <c r="U45" s="1416">
        <f>G45+I45+K45+M45+O45+Q45+S45</f>
        <v>0</v>
      </c>
      <c r="V45" s="1429">
        <f>U45*F45</f>
        <v>0</v>
      </c>
    </row>
    <row r="46" spans="2:22" s="755" customFormat="1" ht="36" outlineLevel="1">
      <c r="B46" s="1420"/>
      <c r="C46" s="1418"/>
      <c r="D46" s="1251" t="s">
        <v>254</v>
      </c>
      <c r="E46" s="1251" t="s">
        <v>255</v>
      </c>
      <c r="F46" s="1419"/>
      <c r="G46" s="1402"/>
      <c r="H46" s="1401"/>
      <c r="I46" s="1402"/>
      <c r="J46" s="1401"/>
      <c r="K46" s="1402"/>
      <c r="L46" s="1401"/>
      <c r="M46" s="1402"/>
      <c r="N46" s="1401"/>
      <c r="O46" s="1402"/>
      <c r="P46" s="1401"/>
      <c r="Q46" s="1402"/>
      <c r="R46" s="1401"/>
      <c r="S46" s="1402"/>
      <c r="T46" s="1401"/>
      <c r="U46" s="1416"/>
      <c r="V46" s="1429"/>
    </row>
    <row r="47" spans="2:22" s="755" customFormat="1" ht="36" outlineLevel="1">
      <c r="B47" s="1420"/>
      <c r="C47" s="1418"/>
      <c r="D47" s="1251" t="s">
        <v>256</v>
      </c>
      <c r="E47" s="1251" t="s">
        <v>257</v>
      </c>
      <c r="F47" s="1419"/>
      <c r="G47" s="1402"/>
      <c r="H47" s="1401"/>
      <c r="I47" s="1402"/>
      <c r="J47" s="1401"/>
      <c r="K47" s="1402"/>
      <c r="L47" s="1401"/>
      <c r="M47" s="1402"/>
      <c r="N47" s="1401"/>
      <c r="O47" s="1402"/>
      <c r="P47" s="1401"/>
      <c r="Q47" s="1402"/>
      <c r="R47" s="1401"/>
      <c r="S47" s="1402"/>
      <c r="T47" s="1401"/>
      <c r="U47" s="1416"/>
      <c r="V47" s="1429"/>
    </row>
    <row r="48" spans="2:22" s="755" customFormat="1" ht="36" outlineLevel="1">
      <c r="B48" s="1420"/>
      <c r="C48" s="1418"/>
      <c r="D48" s="1251" t="s">
        <v>258</v>
      </c>
      <c r="E48" s="1251" t="s">
        <v>259</v>
      </c>
      <c r="F48" s="1419"/>
      <c r="G48" s="1402"/>
      <c r="H48" s="1401"/>
      <c r="I48" s="1402"/>
      <c r="J48" s="1401"/>
      <c r="K48" s="1402"/>
      <c r="L48" s="1401"/>
      <c r="M48" s="1402"/>
      <c r="N48" s="1401"/>
      <c r="O48" s="1402"/>
      <c r="P48" s="1401"/>
      <c r="Q48" s="1402"/>
      <c r="R48" s="1401"/>
      <c r="S48" s="1402"/>
      <c r="T48" s="1401"/>
      <c r="U48" s="1416"/>
      <c r="V48" s="1429"/>
    </row>
    <row r="49" spans="2:22" s="755" customFormat="1" ht="36" outlineLevel="1">
      <c r="B49" s="1420"/>
      <c r="C49" s="1418"/>
      <c r="D49" s="1251" t="s">
        <v>260</v>
      </c>
      <c r="E49" s="1251" t="s">
        <v>261</v>
      </c>
      <c r="F49" s="1419"/>
      <c r="G49" s="1402"/>
      <c r="H49" s="1401"/>
      <c r="I49" s="1402"/>
      <c r="J49" s="1401"/>
      <c r="K49" s="1402"/>
      <c r="L49" s="1401"/>
      <c r="M49" s="1402"/>
      <c r="N49" s="1401"/>
      <c r="O49" s="1402"/>
      <c r="P49" s="1401"/>
      <c r="Q49" s="1402"/>
      <c r="R49" s="1401"/>
      <c r="S49" s="1402"/>
      <c r="T49" s="1401"/>
      <c r="U49" s="1416"/>
      <c r="V49" s="1429"/>
    </row>
    <row r="50" spans="2:22" s="755" customFormat="1" ht="24" outlineLevel="1">
      <c r="B50" s="1420"/>
      <c r="C50" s="1418"/>
      <c r="D50" s="1251" t="s">
        <v>262</v>
      </c>
      <c r="E50" s="1251" t="s">
        <v>263</v>
      </c>
      <c r="F50" s="1419"/>
      <c r="G50" s="1402"/>
      <c r="H50" s="1401"/>
      <c r="I50" s="1402"/>
      <c r="J50" s="1401"/>
      <c r="K50" s="1402"/>
      <c r="L50" s="1401"/>
      <c r="M50" s="1402"/>
      <c r="N50" s="1401"/>
      <c r="O50" s="1402"/>
      <c r="P50" s="1401"/>
      <c r="Q50" s="1402"/>
      <c r="R50" s="1401"/>
      <c r="S50" s="1402"/>
      <c r="T50" s="1401"/>
      <c r="U50" s="1416"/>
      <c r="V50" s="1429"/>
    </row>
    <row r="51" spans="2:22" s="755" customFormat="1" ht="36" outlineLevel="1">
      <c r="B51" s="1420"/>
      <c r="C51" s="1418"/>
      <c r="D51" s="1251" t="s">
        <v>264</v>
      </c>
      <c r="E51" s="1251" t="s">
        <v>265</v>
      </c>
      <c r="F51" s="1419"/>
      <c r="G51" s="1402"/>
      <c r="H51" s="1401"/>
      <c r="I51" s="1402"/>
      <c r="J51" s="1401"/>
      <c r="K51" s="1402"/>
      <c r="L51" s="1401"/>
      <c r="M51" s="1402"/>
      <c r="N51" s="1401"/>
      <c r="O51" s="1402"/>
      <c r="P51" s="1401"/>
      <c r="Q51" s="1402"/>
      <c r="R51" s="1401"/>
      <c r="S51" s="1402"/>
      <c r="T51" s="1401"/>
      <c r="U51" s="1416"/>
      <c r="V51" s="1429"/>
    </row>
    <row r="52" spans="2:22" s="755" customFormat="1" ht="22.9" customHeight="1" outlineLevel="1">
      <c r="B52" s="1420"/>
      <c r="C52" s="1418"/>
      <c r="D52" s="1251" t="s">
        <v>266</v>
      </c>
      <c r="E52" s="1251" t="s">
        <v>267</v>
      </c>
      <c r="F52" s="1419"/>
      <c r="G52" s="1402"/>
      <c r="H52" s="1401"/>
      <c r="I52" s="1402"/>
      <c r="J52" s="1401"/>
      <c r="K52" s="1402"/>
      <c r="L52" s="1401"/>
      <c r="M52" s="1402"/>
      <c r="N52" s="1401"/>
      <c r="O52" s="1402"/>
      <c r="P52" s="1401"/>
      <c r="Q52" s="1402"/>
      <c r="R52" s="1401"/>
      <c r="S52" s="1402"/>
      <c r="T52" s="1401"/>
      <c r="U52" s="1416"/>
      <c r="V52" s="1429"/>
    </row>
    <row r="53" spans="2:22" s="755" customFormat="1" ht="24" customHeight="1" outlineLevel="1">
      <c r="B53" s="1420" t="s">
        <v>1484</v>
      </c>
      <c r="C53" s="1418" t="s">
        <v>268</v>
      </c>
      <c r="D53" s="1251" t="s">
        <v>269</v>
      </c>
      <c r="E53" s="1251" t="s">
        <v>270</v>
      </c>
      <c r="F53" s="1419">
        <v>14332.9</v>
      </c>
      <c r="G53" s="1402"/>
      <c r="H53" s="1401">
        <f>$F$53*G53</f>
        <v>0</v>
      </c>
      <c r="I53" s="1402"/>
      <c r="J53" s="1401">
        <f>$F$53*I53</f>
        <v>0</v>
      </c>
      <c r="K53" s="1402"/>
      <c r="L53" s="1401">
        <f>$F$53*K53</f>
        <v>0</v>
      </c>
      <c r="M53" s="1402"/>
      <c r="N53" s="1401">
        <f>$F$53*M53</f>
        <v>0</v>
      </c>
      <c r="O53" s="1402"/>
      <c r="P53" s="1401">
        <f>$F$53*O53</f>
        <v>0</v>
      </c>
      <c r="Q53" s="1402"/>
      <c r="R53" s="1401">
        <f>$F$53*Q53</f>
        <v>0</v>
      </c>
      <c r="S53" s="1402"/>
      <c r="T53" s="1401">
        <f>$F$53*S53</f>
        <v>0</v>
      </c>
      <c r="U53" s="1416">
        <f>G53+I53+K53+M53+O53+Q53+S53</f>
        <v>0</v>
      </c>
      <c r="V53" s="1429">
        <f>U53*F53</f>
        <v>0</v>
      </c>
    </row>
    <row r="54" spans="2:22" s="755" customFormat="1" ht="36" outlineLevel="1">
      <c r="B54" s="1420"/>
      <c r="C54" s="1418"/>
      <c r="D54" s="1251" t="s">
        <v>271</v>
      </c>
      <c r="E54" s="1251" t="s">
        <v>272</v>
      </c>
      <c r="F54" s="1419"/>
      <c r="G54" s="1402"/>
      <c r="H54" s="1401"/>
      <c r="I54" s="1402"/>
      <c r="J54" s="1401"/>
      <c r="K54" s="1402"/>
      <c r="L54" s="1401"/>
      <c r="M54" s="1402"/>
      <c r="N54" s="1401"/>
      <c r="O54" s="1402"/>
      <c r="P54" s="1401"/>
      <c r="Q54" s="1402"/>
      <c r="R54" s="1401"/>
      <c r="S54" s="1402"/>
      <c r="T54" s="1401"/>
      <c r="U54" s="1416"/>
      <c r="V54" s="1429"/>
    </row>
    <row r="55" spans="2:22" s="755" customFormat="1" ht="36" outlineLevel="1">
      <c r="B55" s="1420"/>
      <c r="C55" s="1418"/>
      <c r="D55" s="1251" t="s">
        <v>273</v>
      </c>
      <c r="E55" s="1251" t="s">
        <v>274</v>
      </c>
      <c r="F55" s="1419"/>
      <c r="G55" s="1402"/>
      <c r="H55" s="1401"/>
      <c r="I55" s="1402"/>
      <c r="J55" s="1401"/>
      <c r="K55" s="1402"/>
      <c r="L55" s="1401"/>
      <c r="M55" s="1402"/>
      <c r="N55" s="1401"/>
      <c r="O55" s="1402"/>
      <c r="P55" s="1401"/>
      <c r="Q55" s="1402"/>
      <c r="R55" s="1401"/>
      <c r="S55" s="1402"/>
      <c r="T55" s="1401"/>
      <c r="U55" s="1416"/>
      <c r="V55" s="1429"/>
    </row>
    <row r="56" spans="2:22" s="755" customFormat="1" ht="36" outlineLevel="1">
      <c r="B56" s="1420"/>
      <c r="C56" s="1418"/>
      <c r="D56" s="1251" t="s">
        <v>275</v>
      </c>
      <c r="E56" s="1251" t="s">
        <v>276</v>
      </c>
      <c r="F56" s="1419"/>
      <c r="G56" s="1402"/>
      <c r="H56" s="1401"/>
      <c r="I56" s="1402"/>
      <c r="J56" s="1401"/>
      <c r="K56" s="1402"/>
      <c r="L56" s="1401"/>
      <c r="M56" s="1402"/>
      <c r="N56" s="1401"/>
      <c r="O56" s="1402"/>
      <c r="P56" s="1401"/>
      <c r="Q56" s="1402"/>
      <c r="R56" s="1401"/>
      <c r="S56" s="1402"/>
      <c r="T56" s="1401"/>
      <c r="U56" s="1416"/>
      <c r="V56" s="1429"/>
    </row>
    <row r="57" spans="2:22" s="755" customFormat="1" ht="36" outlineLevel="1">
      <c r="B57" s="1420"/>
      <c r="C57" s="1418"/>
      <c r="D57" s="1251" t="s">
        <v>277</v>
      </c>
      <c r="E57" s="1251" t="s">
        <v>278</v>
      </c>
      <c r="F57" s="1419"/>
      <c r="G57" s="1402"/>
      <c r="H57" s="1401"/>
      <c r="I57" s="1402"/>
      <c r="J57" s="1401"/>
      <c r="K57" s="1402"/>
      <c r="L57" s="1401"/>
      <c r="M57" s="1402"/>
      <c r="N57" s="1401"/>
      <c r="O57" s="1402"/>
      <c r="P57" s="1401"/>
      <c r="Q57" s="1402"/>
      <c r="R57" s="1401"/>
      <c r="S57" s="1402"/>
      <c r="T57" s="1401"/>
      <c r="U57" s="1416"/>
      <c r="V57" s="1429"/>
    </row>
    <row r="58" spans="2:22" s="755" customFormat="1" ht="24" outlineLevel="1">
      <c r="B58" s="1420"/>
      <c r="C58" s="1418"/>
      <c r="D58" s="1251" t="s">
        <v>279</v>
      </c>
      <c r="E58" s="1251" t="s">
        <v>280</v>
      </c>
      <c r="F58" s="1419"/>
      <c r="G58" s="1402"/>
      <c r="H58" s="1401"/>
      <c r="I58" s="1402"/>
      <c r="J58" s="1401"/>
      <c r="K58" s="1402"/>
      <c r="L58" s="1401"/>
      <c r="M58" s="1402"/>
      <c r="N58" s="1401"/>
      <c r="O58" s="1402"/>
      <c r="P58" s="1401"/>
      <c r="Q58" s="1402"/>
      <c r="R58" s="1401"/>
      <c r="S58" s="1402"/>
      <c r="T58" s="1401"/>
      <c r="U58" s="1416"/>
      <c r="V58" s="1429"/>
    </row>
    <row r="59" spans="2:22" s="755" customFormat="1" ht="36" outlineLevel="1">
      <c r="B59" s="1420"/>
      <c r="C59" s="1418"/>
      <c r="D59" s="1251" t="s">
        <v>281</v>
      </c>
      <c r="E59" s="1251" t="s">
        <v>282</v>
      </c>
      <c r="F59" s="1419"/>
      <c r="G59" s="1402"/>
      <c r="H59" s="1401"/>
      <c r="I59" s="1402"/>
      <c r="J59" s="1401"/>
      <c r="K59" s="1402"/>
      <c r="L59" s="1401"/>
      <c r="M59" s="1402"/>
      <c r="N59" s="1401"/>
      <c r="O59" s="1402"/>
      <c r="P59" s="1401"/>
      <c r="Q59" s="1402"/>
      <c r="R59" s="1401"/>
      <c r="S59" s="1402"/>
      <c r="T59" s="1401"/>
      <c r="U59" s="1416"/>
      <c r="V59" s="1429"/>
    </row>
    <row r="60" spans="2:22" s="755" customFormat="1" ht="22.9" customHeight="1" outlineLevel="1">
      <c r="B60" s="1420"/>
      <c r="C60" s="1418"/>
      <c r="D60" s="1251" t="s">
        <v>283</v>
      </c>
      <c r="E60" s="1251" t="s">
        <v>284</v>
      </c>
      <c r="F60" s="1419"/>
      <c r="G60" s="1402"/>
      <c r="H60" s="1401"/>
      <c r="I60" s="1402"/>
      <c r="J60" s="1401"/>
      <c r="K60" s="1402"/>
      <c r="L60" s="1401"/>
      <c r="M60" s="1402"/>
      <c r="N60" s="1401"/>
      <c r="O60" s="1402"/>
      <c r="P60" s="1401"/>
      <c r="Q60" s="1402"/>
      <c r="R60" s="1401"/>
      <c r="S60" s="1402"/>
      <c r="T60" s="1401"/>
      <c r="U60" s="1416"/>
      <c r="V60" s="1429"/>
    </row>
    <row r="61" spans="2:22" s="755" customFormat="1" ht="12.75" customHeight="1" outlineLevel="1">
      <c r="B61" s="1421" t="s">
        <v>1485</v>
      </c>
      <c r="C61" s="1430" t="s">
        <v>355</v>
      </c>
      <c r="D61" s="1251" t="s">
        <v>285</v>
      </c>
      <c r="E61" s="1251" t="s">
        <v>286</v>
      </c>
      <c r="F61" s="1433">
        <v>24362.15</v>
      </c>
      <c r="G61" s="1402"/>
      <c r="H61" s="1401">
        <f>$F$61*G61</f>
        <v>0</v>
      </c>
      <c r="I61" s="1402"/>
      <c r="J61" s="1401">
        <f>$F$61*I61</f>
        <v>0</v>
      </c>
      <c r="K61" s="1402"/>
      <c r="L61" s="1401">
        <f>$F$61*K61</f>
        <v>0</v>
      </c>
      <c r="M61" s="1402"/>
      <c r="N61" s="1401">
        <f>$F$61*M61</f>
        <v>0</v>
      </c>
      <c r="O61" s="1402"/>
      <c r="P61" s="1401">
        <f>$F$61*O61</f>
        <v>0</v>
      </c>
      <c r="Q61" s="1402"/>
      <c r="R61" s="1401">
        <f>$F$61*Q61</f>
        <v>0</v>
      </c>
      <c r="S61" s="1402"/>
      <c r="T61" s="1417">
        <f>$F$61*S61</f>
        <v>0</v>
      </c>
      <c r="U61" s="1416">
        <f>G61+I61+K61+M61+O61+Q61+S61</f>
        <v>0</v>
      </c>
      <c r="V61" s="1429">
        <f>U61*F61</f>
        <v>0</v>
      </c>
    </row>
    <row r="62" spans="2:22" s="755" customFormat="1" ht="36" outlineLevel="1">
      <c r="B62" s="1422"/>
      <c r="C62" s="1431"/>
      <c r="D62" s="1251" t="s">
        <v>287</v>
      </c>
      <c r="E62" s="1251" t="s">
        <v>288</v>
      </c>
      <c r="F62" s="1434"/>
      <c r="G62" s="1402"/>
      <c r="H62" s="1401"/>
      <c r="I62" s="1402"/>
      <c r="J62" s="1401"/>
      <c r="K62" s="1402"/>
      <c r="L62" s="1401"/>
      <c r="M62" s="1402"/>
      <c r="N62" s="1401"/>
      <c r="O62" s="1402"/>
      <c r="P62" s="1401"/>
      <c r="Q62" s="1402"/>
      <c r="R62" s="1401"/>
      <c r="S62" s="1402"/>
      <c r="T62" s="1417"/>
      <c r="U62" s="1416"/>
      <c r="V62" s="1429"/>
    </row>
    <row r="63" spans="2:22" s="755" customFormat="1" ht="24" outlineLevel="1">
      <c r="B63" s="1422"/>
      <c r="C63" s="1431"/>
      <c r="D63" s="1251" t="s">
        <v>289</v>
      </c>
      <c r="E63" s="1251" t="s">
        <v>290</v>
      </c>
      <c r="F63" s="1434"/>
      <c r="G63" s="1402"/>
      <c r="H63" s="1401"/>
      <c r="I63" s="1402"/>
      <c r="J63" s="1401"/>
      <c r="K63" s="1402"/>
      <c r="L63" s="1401"/>
      <c r="M63" s="1402"/>
      <c r="N63" s="1401"/>
      <c r="O63" s="1402"/>
      <c r="P63" s="1401"/>
      <c r="Q63" s="1402"/>
      <c r="R63" s="1401"/>
      <c r="S63" s="1402"/>
      <c r="T63" s="1417"/>
      <c r="U63" s="1416"/>
      <c r="V63" s="1429"/>
    </row>
    <row r="64" spans="2:22" s="755" customFormat="1" ht="36" outlineLevel="1">
      <c r="B64" s="1422"/>
      <c r="C64" s="1431"/>
      <c r="D64" s="1251" t="s">
        <v>291</v>
      </c>
      <c r="E64" s="1251" t="s">
        <v>292</v>
      </c>
      <c r="F64" s="1434"/>
      <c r="G64" s="1402"/>
      <c r="H64" s="1401"/>
      <c r="I64" s="1402"/>
      <c r="J64" s="1401"/>
      <c r="K64" s="1402"/>
      <c r="L64" s="1401"/>
      <c r="M64" s="1402"/>
      <c r="N64" s="1401"/>
      <c r="O64" s="1402"/>
      <c r="P64" s="1401"/>
      <c r="Q64" s="1402"/>
      <c r="R64" s="1401"/>
      <c r="S64" s="1402"/>
      <c r="T64" s="1417"/>
      <c r="U64" s="1416"/>
      <c r="V64" s="1429"/>
    </row>
    <row r="65" spans="2:22" s="755" customFormat="1" ht="24" outlineLevel="1">
      <c r="B65" s="1422"/>
      <c r="C65" s="1431"/>
      <c r="D65" s="1251" t="s">
        <v>293</v>
      </c>
      <c r="E65" s="1251" t="s">
        <v>294</v>
      </c>
      <c r="F65" s="1434"/>
      <c r="G65" s="1402"/>
      <c r="H65" s="1401"/>
      <c r="I65" s="1402"/>
      <c r="J65" s="1401"/>
      <c r="K65" s="1402"/>
      <c r="L65" s="1401"/>
      <c r="M65" s="1402"/>
      <c r="N65" s="1401"/>
      <c r="O65" s="1402"/>
      <c r="P65" s="1401"/>
      <c r="Q65" s="1402"/>
      <c r="R65" s="1401"/>
      <c r="S65" s="1402"/>
      <c r="T65" s="1417"/>
      <c r="U65" s="1416"/>
      <c r="V65" s="1429"/>
    </row>
    <row r="66" spans="2:22" s="755" customFormat="1" ht="24" outlineLevel="1">
      <c r="B66" s="1422"/>
      <c r="C66" s="1431"/>
      <c r="D66" s="1251" t="s">
        <v>295</v>
      </c>
      <c r="E66" s="1251" t="s">
        <v>296</v>
      </c>
      <c r="F66" s="1434"/>
      <c r="G66" s="1402"/>
      <c r="H66" s="1401"/>
      <c r="I66" s="1402"/>
      <c r="J66" s="1401"/>
      <c r="K66" s="1402"/>
      <c r="L66" s="1401"/>
      <c r="M66" s="1402"/>
      <c r="N66" s="1401"/>
      <c r="O66" s="1402"/>
      <c r="P66" s="1401"/>
      <c r="Q66" s="1402"/>
      <c r="R66" s="1401"/>
      <c r="S66" s="1402"/>
      <c r="T66" s="1417"/>
      <c r="U66" s="1416"/>
      <c r="V66" s="1429"/>
    </row>
    <row r="67" spans="2:22" s="755" customFormat="1" ht="36" outlineLevel="1">
      <c r="B67" s="1422"/>
      <c r="C67" s="1431"/>
      <c r="D67" s="1251" t="s">
        <v>297</v>
      </c>
      <c r="E67" s="1251" t="s">
        <v>298</v>
      </c>
      <c r="F67" s="1434"/>
      <c r="G67" s="1402"/>
      <c r="H67" s="1401"/>
      <c r="I67" s="1402"/>
      <c r="J67" s="1401"/>
      <c r="K67" s="1402"/>
      <c r="L67" s="1401"/>
      <c r="M67" s="1402"/>
      <c r="N67" s="1401"/>
      <c r="O67" s="1402"/>
      <c r="P67" s="1401"/>
      <c r="Q67" s="1402"/>
      <c r="R67" s="1401"/>
      <c r="S67" s="1402"/>
      <c r="T67" s="1417"/>
      <c r="U67" s="1416"/>
      <c r="V67" s="1429"/>
    </row>
    <row r="68" spans="2:22" s="755" customFormat="1" ht="36" outlineLevel="1">
      <c r="B68" s="1423"/>
      <c r="C68" s="1432"/>
      <c r="D68" s="1251" t="s">
        <v>299</v>
      </c>
      <c r="E68" s="1251" t="s">
        <v>300</v>
      </c>
      <c r="F68" s="1435"/>
      <c r="G68" s="1402"/>
      <c r="H68" s="1401"/>
      <c r="I68" s="1402"/>
      <c r="J68" s="1401"/>
      <c r="K68" s="1402"/>
      <c r="L68" s="1401"/>
      <c r="M68" s="1402"/>
      <c r="N68" s="1401"/>
      <c r="O68" s="1402"/>
      <c r="P68" s="1401"/>
      <c r="Q68" s="1402"/>
      <c r="R68" s="1401"/>
      <c r="S68" s="1402"/>
      <c r="T68" s="1417"/>
      <c r="U68" s="1416"/>
      <c r="V68" s="1429"/>
    </row>
    <row r="69" spans="2:22" s="755" customFormat="1" ht="12.75" customHeight="1" outlineLevel="1">
      <c r="B69" s="1252" t="s">
        <v>1492</v>
      </c>
      <c r="C69" s="1254" t="s">
        <v>301</v>
      </c>
      <c r="D69" s="1254"/>
      <c r="E69" s="1255"/>
      <c r="F69" s="1253"/>
      <c r="G69" s="1351"/>
      <c r="H69" s="1256"/>
      <c r="I69" s="1351"/>
      <c r="J69" s="1256"/>
      <c r="K69" s="1351"/>
      <c r="L69" s="1256"/>
      <c r="M69" s="1351"/>
      <c r="N69" s="1256"/>
      <c r="O69" s="1351"/>
      <c r="P69" s="1256"/>
      <c r="Q69" s="1351"/>
      <c r="R69" s="1256"/>
      <c r="S69" s="1351"/>
      <c r="T69" s="1256"/>
      <c r="U69" s="1257"/>
      <c r="V69" s="1258"/>
    </row>
    <row r="70" spans="2:22" s="755" customFormat="1" ht="36" outlineLevel="1">
      <c r="B70" s="1420" t="s">
        <v>1486</v>
      </c>
      <c r="C70" s="1452" t="s">
        <v>302</v>
      </c>
      <c r="D70" s="1251" t="s">
        <v>303</v>
      </c>
      <c r="E70" s="1251" t="s">
        <v>692</v>
      </c>
      <c r="F70" s="1419">
        <v>541.97</v>
      </c>
      <c r="G70" s="1402"/>
      <c r="H70" s="1401">
        <f>$F$70*G70</f>
        <v>0</v>
      </c>
      <c r="I70" s="1402"/>
      <c r="J70" s="1401">
        <f>$F$70*I70</f>
        <v>0</v>
      </c>
      <c r="K70" s="1402"/>
      <c r="L70" s="1401">
        <f>$F$70*K70</f>
        <v>0</v>
      </c>
      <c r="M70" s="1402"/>
      <c r="N70" s="1401">
        <f>$F$70*M70</f>
        <v>0</v>
      </c>
      <c r="O70" s="1402"/>
      <c r="P70" s="1401">
        <f>$F$70*O70</f>
        <v>0</v>
      </c>
      <c r="Q70" s="1402"/>
      <c r="R70" s="1401">
        <f>$F$70*Q70</f>
        <v>0</v>
      </c>
      <c r="S70" s="1402"/>
      <c r="T70" s="1417">
        <f>$F$70*S70</f>
        <v>0</v>
      </c>
      <c r="U70" s="1416">
        <f>G70+I70+K70+M70+O70+Q70+S70</f>
        <v>0</v>
      </c>
      <c r="V70" s="1429">
        <f>U70*F70</f>
        <v>0</v>
      </c>
    </row>
    <row r="71" spans="2:22" s="755" customFormat="1" ht="36" outlineLevel="1">
      <c r="B71" s="1420"/>
      <c r="C71" s="1452"/>
      <c r="D71" s="1251" t="s">
        <v>304</v>
      </c>
      <c r="E71" s="1251" t="s">
        <v>693</v>
      </c>
      <c r="F71" s="1419"/>
      <c r="G71" s="1402"/>
      <c r="H71" s="1401"/>
      <c r="I71" s="1402"/>
      <c r="J71" s="1401"/>
      <c r="K71" s="1402"/>
      <c r="L71" s="1401"/>
      <c r="M71" s="1402"/>
      <c r="N71" s="1401"/>
      <c r="O71" s="1402"/>
      <c r="P71" s="1401"/>
      <c r="Q71" s="1402"/>
      <c r="R71" s="1401"/>
      <c r="S71" s="1402"/>
      <c r="T71" s="1417"/>
      <c r="U71" s="1416"/>
      <c r="V71" s="1429"/>
    </row>
    <row r="72" spans="2:22" s="755" customFormat="1" ht="36" outlineLevel="1">
      <c r="B72" s="1420" t="s">
        <v>1487</v>
      </c>
      <c r="C72" s="1452" t="s">
        <v>305</v>
      </c>
      <c r="D72" s="1251" t="s">
        <v>306</v>
      </c>
      <c r="E72" s="1251" t="s">
        <v>694</v>
      </c>
      <c r="F72" s="1419">
        <v>1300.73</v>
      </c>
      <c r="G72" s="1402"/>
      <c r="H72" s="1401">
        <f>$F$72*G72</f>
        <v>0</v>
      </c>
      <c r="I72" s="1402"/>
      <c r="J72" s="1401">
        <f>$F$72*I72</f>
        <v>0</v>
      </c>
      <c r="K72" s="1402"/>
      <c r="L72" s="1401">
        <f>$F$72*K72</f>
        <v>0</v>
      </c>
      <c r="M72" s="1402"/>
      <c r="N72" s="1401">
        <f>$F$72*M72</f>
        <v>0</v>
      </c>
      <c r="O72" s="1402"/>
      <c r="P72" s="1401">
        <f>$F$72*O72</f>
        <v>0</v>
      </c>
      <c r="Q72" s="1402"/>
      <c r="R72" s="1401">
        <f>$F$72*Q72</f>
        <v>0</v>
      </c>
      <c r="S72" s="1402"/>
      <c r="T72" s="1417">
        <f>$F$72*S72</f>
        <v>0</v>
      </c>
      <c r="U72" s="1416">
        <f>G72+I72+K72+M72+O72+Q72+S72</f>
        <v>0</v>
      </c>
      <c r="V72" s="1429">
        <f>U72*F72</f>
        <v>0</v>
      </c>
    </row>
    <row r="73" spans="2:22" s="755" customFormat="1" ht="36" outlineLevel="1">
      <c r="B73" s="1420"/>
      <c r="C73" s="1452"/>
      <c r="D73" s="1251" t="s">
        <v>307</v>
      </c>
      <c r="E73" s="1251" t="s">
        <v>695</v>
      </c>
      <c r="F73" s="1419"/>
      <c r="G73" s="1402"/>
      <c r="H73" s="1401"/>
      <c r="I73" s="1402"/>
      <c r="J73" s="1401"/>
      <c r="K73" s="1402"/>
      <c r="L73" s="1401"/>
      <c r="M73" s="1402"/>
      <c r="N73" s="1401"/>
      <c r="O73" s="1402"/>
      <c r="P73" s="1401"/>
      <c r="Q73" s="1402"/>
      <c r="R73" s="1401"/>
      <c r="S73" s="1402"/>
      <c r="T73" s="1417"/>
      <c r="U73" s="1416"/>
      <c r="V73" s="1429"/>
    </row>
    <row r="74" spans="2:22" s="755" customFormat="1" ht="36" outlineLevel="1">
      <c r="B74" s="1420" t="s">
        <v>1488</v>
      </c>
      <c r="C74" s="1452" t="s">
        <v>308</v>
      </c>
      <c r="D74" s="1251" t="s">
        <v>309</v>
      </c>
      <c r="E74" s="1251" t="s">
        <v>696</v>
      </c>
      <c r="F74" s="1419">
        <v>2384.64</v>
      </c>
      <c r="G74" s="1402"/>
      <c r="H74" s="1401">
        <f>$F$74*G74</f>
        <v>0</v>
      </c>
      <c r="I74" s="1402"/>
      <c r="J74" s="1401">
        <f>$F$74*I74</f>
        <v>0</v>
      </c>
      <c r="K74" s="1402"/>
      <c r="L74" s="1401">
        <f>$F$74*K74</f>
        <v>0</v>
      </c>
      <c r="M74" s="1402"/>
      <c r="N74" s="1401">
        <f>$F$74*M74</f>
        <v>0</v>
      </c>
      <c r="O74" s="1402"/>
      <c r="P74" s="1401">
        <f>$F$74*O74</f>
        <v>0</v>
      </c>
      <c r="Q74" s="1402"/>
      <c r="R74" s="1401">
        <f>$F$74*Q74</f>
        <v>0</v>
      </c>
      <c r="S74" s="1402"/>
      <c r="T74" s="1417">
        <f>$F$74*S74</f>
        <v>0</v>
      </c>
      <c r="U74" s="1416">
        <f>G74+I74+K74+M74+O74+Q74+S74</f>
        <v>0</v>
      </c>
      <c r="V74" s="1429">
        <f>U74*F74</f>
        <v>0</v>
      </c>
    </row>
    <row r="75" spans="2:22" s="755" customFormat="1" ht="36" outlineLevel="1">
      <c r="B75" s="1420"/>
      <c r="C75" s="1452"/>
      <c r="D75" s="1251" t="s">
        <v>310</v>
      </c>
      <c r="E75" s="1251" t="s">
        <v>697</v>
      </c>
      <c r="F75" s="1419"/>
      <c r="G75" s="1402"/>
      <c r="H75" s="1401"/>
      <c r="I75" s="1402"/>
      <c r="J75" s="1401"/>
      <c r="K75" s="1402"/>
      <c r="L75" s="1401"/>
      <c r="M75" s="1402"/>
      <c r="N75" s="1401"/>
      <c r="O75" s="1402"/>
      <c r="P75" s="1401"/>
      <c r="Q75" s="1402"/>
      <c r="R75" s="1401"/>
      <c r="S75" s="1402"/>
      <c r="T75" s="1417"/>
      <c r="U75" s="1416"/>
      <c r="V75" s="1429"/>
    </row>
    <row r="76" spans="2:22" s="755" customFormat="1" ht="36" outlineLevel="1">
      <c r="B76" s="1420" t="s">
        <v>1489</v>
      </c>
      <c r="C76" s="1452" t="s">
        <v>311</v>
      </c>
      <c r="D76" s="1251" t="s">
        <v>312</v>
      </c>
      <c r="E76" s="1251" t="s">
        <v>698</v>
      </c>
      <c r="F76" s="1419">
        <v>4633.8100000000004</v>
      </c>
      <c r="G76" s="1402"/>
      <c r="H76" s="1401">
        <f>$F$76*G76</f>
        <v>0</v>
      </c>
      <c r="I76" s="1402"/>
      <c r="J76" s="1401">
        <f>$F$76*I76</f>
        <v>0</v>
      </c>
      <c r="K76" s="1402"/>
      <c r="L76" s="1401">
        <f>$F$76*K76</f>
        <v>0</v>
      </c>
      <c r="M76" s="1402"/>
      <c r="N76" s="1401">
        <f>$F$76*M76</f>
        <v>0</v>
      </c>
      <c r="O76" s="1402"/>
      <c r="P76" s="1401">
        <f>$F$76*O76</f>
        <v>0</v>
      </c>
      <c r="Q76" s="1402"/>
      <c r="R76" s="1401">
        <f>$F$76*Q76</f>
        <v>0</v>
      </c>
      <c r="S76" s="1402"/>
      <c r="T76" s="1417">
        <f>$F$76*S76</f>
        <v>0</v>
      </c>
      <c r="U76" s="1416">
        <f>G76+I76+K76+M76+O76+Q76+S76</f>
        <v>0</v>
      </c>
      <c r="V76" s="1429">
        <f>U76*F76</f>
        <v>0</v>
      </c>
    </row>
    <row r="77" spans="2:22" s="755" customFormat="1" ht="36" outlineLevel="1">
      <c r="B77" s="1420"/>
      <c r="C77" s="1452"/>
      <c r="D77" s="1251" t="s">
        <v>313</v>
      </c>
      <c r="E77" s="1251" t="s">
        <v>699</v>
      </c>
      <c r="F77" s="1419"/>
      <c r="G77" s="1402"/>
      <c r="H77" s="1401"/>
      <c r="I77" s="1402"/>
      <c r="J77" s="1401"/>
      <c r="K77" s="1402"/>
      <c r="L77" s="1401"/>
      <c r="M77" s="1402"/>
      <c r="N77" s="1401"/>
      <c r="O77" s="1402"/>
      <c r="P77" s="1401"/>
      <c r="Q77" s="1402"/>
      <c r="R77" s="1401"/>
      <c r="S77" s="1402"/>
      <c r="T77" s="1417"/>
      <c r="U77" s="1416"/>
      <c r="V77" s="1429"/>
    </row>
    <row r="78" spans="2:22" s="755" customFormat="1" ht="36" outlineLevel="1">
      <c r="B78" s="1420" t="s">
        <v>1490</v>
      </c>
      <c r="C78" s="1452" t="s">
        <v>314</v>
      </c>
      <c r="D78" s="1251" t="s">
        <v>315</v>
      </c>
      <c r="E78" s="1251" t="s">
        <v>700</v>
      </c>
      <c r="F78" s="1419">
        <v>7804.31</v>
      </c>
      <c r="G78" s="1402"/>
      <c r="H78" s="1401">
        <f>$F$78*G78</f>
        <v>0</v>
      </c>
      <c r="I78" s="1402"/>
      <c r="J78" s="1401">
        <f>$F$78*I78</f>
        <v>0</v>
      </c>
      <c r="K78" s="1402"/>
      <c r="L78" s="1401">
        <f>$F$78*K78</f>
        <v>0</v>
      </c>
      <c r="M78" s="1402"/>
      <c r="N78" s="1401">
        <f>$F$78*M78</f>
        <v>0</v>
      </c>
      <c r="O78" s="1402"/>
      <c r="P78" s="1401">
        <f>$F$78*O78</f>
        <v>0</v>
      </c>
      <c r="Q78" s="1402"/>
      <c r="R78" s="1401">
        <f>$F$78*Q78</f>
        <v>0</v>
      </c>
      <c r="S78" s="1402"/>
      <c r="T78" s="1417">
        <f>$F$78*S78</f>
        <v>0</v>
      </c>
      <c r="U78" s="1416">
        <f>G78+I78+K78+M78+O78+Q78+S78</f>
        <v>0</v>
      </c>
      <c r="V78" s="1429">
        <f>U78*F78</f>
        <v>0</v>
      </c>
    </row>
    <row r="79" spans="2:22" s="755" customFormat="1" ht="36" outlineLevel="1">
      <c r="B79" s="1420"/>
      <c r="C79" s="1452"/>
      <c r="D79" s="1251" t="s">
        <v>316</v>
      </c>
      <c r="E79" s="1251" t="s">
        <v>701</v>
      </c>
      <c r="F79" s="1419"/>
      <c r="G79" s="1402"/>
      <c r="H79" s="1401"/>
      <c r="I79" s="1402"/>
      <c r="J79" s="1401"/>
      <c r="K79" s="1402"/>
      <c r="L79" s="1401"/>
      <c r="M79" s="1402"/>
      <c r="N79" s="1401"/>
      <c r="O79" s="1402"/>
      <c r="P79" s="1401"/>
      <c r="Q79" s="1402"/>
      <c r="R79" s="1401"/>
      <c r="S79" s="1402"/>
      <c r="T79" s="1417"/>
      <c r="U79" s="1416"/>
      <c r="V79" s="1429"/>
    </row>
    <row r="80" spans="2:22" s="755" customFormat="1" ht="24" outlineLevel="1">
      <c r="B80" s="1420" t="s">
        <v>1491</v>
      </c>
      <c r="C80" s="1452" t="s">
        <v>317</v>
      </c>
      <c r="D80" s="1251" t="s">
        <v>318</v>
      </c>
      <c r="E80" s="1251" t="s">
        <v>319</v>
      </c>
      <c r="F80" s="1419">
        <v>11598.07</v>
      </c>
      <c r="G80" s="1402"/>
      <c r="H80" s="1401">
        <f>$F$80*G80</f>
        <v>0</v>
      </c>
      <c r="I80" s="1402"/>
      <c r="J80" s="1401">
        <f>$F$80*I80</f>
        <v>0</v>
      </c>
      <c r="K80" s="1402"/>
      <c r="L80" s="1401">
        <f>$F$80*K80</f>
        <v>0</v>
      </c>
      <c r="M80" s="1402"/>
      <c r="N80" s="1401">
        <f>$F$80*M80</f>
        <v>0</v>
      </c>
      <c r="O80" s="1402"/>
      <c r="P80" s="1401">
        <f>$F$80*O80</f>
        <v>0</v>
      </c>
      <c r="Q80" s="1402"/>
      <c r="R80" s="1401">
        <f>$F$80*Q80</f>
        <v>0</v>
      </c>
      <c r="S80" s="1402"/>
      <c r="T80" s="1417">
        <f>$F$80*S80</f>
        <v>0</v>
      </c>
      <c r="U80" s="1416">
        <f>G80+I80+K80+M80+O80+Q80+S80</f>
        <v>0</v>
      </c>
      <c r="V80" s="1429">
        <f>U80*F80</f>
        <v>0</v>
      </c>
    </row>
    <row r="81" spans="2:22" s="755" customFormat="1" ht="24" outlineLevel="1">
      <c r="B81" s="1420"/>
      <c r="C81" s="1452"/>
      <c r="D81" s="1251" t="s">
        <v>320</v>
      </c>
      <c r="E81" s="1251" t="s">
        <v>321</v>
      </c>
      <c r="F81" s="1419"/>
      <c r="G81" s="1402"/>
      <c r="H81" s="1401"/>
      <c r="I81" s="1402"/>
      <c r="J81" s="1401"/>
      <c r="K81" s="1402"/>
      <c r="L81" s="1401"/>
      <c r="M81" s="1402"/>
      <c r="N81" s="1401"/>
      <c r="O81" s="1402"/>
      <c r="P81" s="1401"/>
      <c r="Q81" s="1402"/>
      <c r="R81" s="1401"/>
      <c r="S81" s="1402"/>
      <c r="T81" s="1417"/>
      <c r="U81" s="1416"/>
      <c r="V81" s="1429"/>
    </row>
    <row r="82" spans="2:22" s="755" customFormat="1" ht="16.5" thickBot="1">
      <c r="B82" s="1388" t="s">
        <v>534</v>
      </c>
      <c r="C82" s="1389"/>
      <c r="D82" s="1389"/>
      <c r="E82" s="1389"/>
      <c r="F82" s="1390"/>
      <c r="G82" s="1259">
        <f>SUM(G8:G81)</f>
        <v>0</v>
      </c>
      <c r="H82" s="1259">
        <f t="shared" ref="H82:T82" si="0">SUM(H8:H81)</f>
        <v>0</v>
      </c>
      <c r="I82" s="1259">
        <f t="shared" si="0"/>
        <v>0</v>
      </c>
      <c r="J82" s="1259">
        <f t="shared" si="0"/>
        <v>0</v>
      </c>
      <c r="K82" s="1259">
        <f t="shared" si="0"/>
        <v>0</v>
      </c>
      <c r="L82" s="1259">
        <f t="shared" si="0"/>
        <v>0</v>
      </c>
      <c r="M82" s="1259">
        <f t="shared" si="0"/>
        <v>0</v>
      </c>
      <c r="N82" s="1259">
        <f t="shared" si="0"/>
        <v>0</v>
      </c>
      <c r="O82" s="1259">
        <f t="shared" si="0"/>
        <v>0</v>
      </c>
      <c r="P82" s="1259">
        <f t="shared" si="0"/>
        <v>0</v>
      </c>
      <c r="Q82" s="1259">
        <f t="shared" si="0"/>
        <v>0</v>
      </c>
      <c r="R82" s="1259">
        <f t="shared" si="0"/>
        <v>0</v>
      </c>
      <c r="S82" s="1353">
        <f t="shared" si="0"/>
        <v>0</v>
      </c>
      <c r="T82" s="1260">
        <f t="shared" si="0"/>
        <v>0</v>
      </c>
      <c r="U82" s="1261">
        <f>SUM(U8:U81)</f>
        <v>0</v>
      </c>
      <c r="V82" s="1262">
        <f>SUM(V8:V81)</f>
        <v>0</v>
      </c>
    </row>
    <row r="83" spans="2:22" s="306" customFormat="1" ht="16.5" thickBot="1">
      <c r="B83" s="1263"/>
      <c r="C83" s="1263"/>
      <c r="D83" s="1263"/>
      <c r="E83" s="1263"/>
      <c r="F83" s="1263"/>
      <c r="G83" s="1264"/>
      <c r="H83" s="1265"/>
      <c r="I83" s="1264"/>
      <c r="J83" s="1265"/>
      <c r="K83" s="1264"/>
      <c r="L83" s="1265"/>
      <c r="M83" s="1264"/>
      <c r="N83" s="1265"/>
      <c r="O83" s="1264"/>
      <c r="P83" s="1265"/>
      <c r="Q83" s="1264"/>
      <c r="R83" s="1265"/>
      <c r="S83" s="1264"/>
      <c r="T83" s="1265"/>
      <c r="U83" s="1265"/>
      <c r="V83" s="1265"/>
    </row>
    <row r="84" spans="2:22" s="756" customFormat="1" ht="15.75">
      <c r="B84" s="1400" t="s">
        <v>702</v>
      </c>
      <c r="C84" s="1400"/>
      <c r="D84" s="1400"/>
      <c r="E84" s="1400"/>
      <c r="F84" s="1400"/>
      <c r="G84" s="1266"/>
      <c r="H84" s="1267"/>
      <c r="I84" s="1266"/>
      <c r="J84" s="1267"/>
      <c r="K84" s="1266"/>
      <c r="L84" s="1267"/>
      <c r="M84" s="1266"/>
      <c r="N84" s="1267"/>
      <c r="O84" s="1266"/>
      <c r="P84" s="1267"/>
      <c r="Q84" s="1266"/>
      <c r="R84" s="1267"/>
      <c r="S84" s="1266"/>
      <c r="T84" s="1267"/>
      <c r="U84" s="1268"/>
      <c r="V84" s="1269"/>
    </row>
    <row r="85" spans="2:22" s="755" customFormat="1" ht="15.75" customHeight="1">
      <c r="B85" s="1270" t="s">
        <v>2003</v>
      </c>
      <c r="C85" s="1271" t="s">
        <v>1493</v>
      </c>
      <c r="D85" s="1271"/>
      <c r="E85" s="1272"/>
      <c r="F85" s="1273"/>
      <c r="G85" s="1274"/>
      <c r="H85" s="1275"/>
      <c r="I85" s="1274"/>
      <c r="J85" s="1275"/>
      <c r="K85" s="1274"/>
      <c r="L85" s="1275"/>
      <c r="M85" s="1274"/>
      <c r="N85" s="1275"/>
      <c r="O85" s="1274"/>
      <c r="P85" s="1275"/>
      <c r="Q85" s="1274"/>
      <c r="R85" s="1275"/>
      <c r="S85" s="1274"/>
      <c r="T85" s="1275"/>
      <c r="U85" s="1276"/>
      <c r="V85" s="1277"/>
    </row>
    <row r="86" spans="2:22" s="755" customFormat="1" outlineLevel="1">
      <c r="B86" s="1278" t="s">
        <v>1494</v>
      </c>
      <c r="C86" s="1279" t="s">
        <v>1493</v>
      </c>
      <c r="D86" s="1280" t="s">
        <v>755</v>
      </c>
      <c r="E86" s="1251" t="s">
        <v>756</v>
      </c>
      <c r="F86" s="1281">
        <v>1452</v>
      </c>
      <c r="G86" s="1338"/>
      <c r="H86" s="1282">
        <f t="shared" ref="H86:H111" si="1">F86*G86</f>
        <v>0</v>
      </c>
      <c r="I86" s="1338"/>
      <c r="J86" s="1282">
        <f>F86*I86</f>
        <v>0</v>
      </c>
      <c r="K86" s="1338"/>
      <c r="L86" s="1282">
        <f>F86*K86</f>
        <v>0</v>
      </c>
      <c r="M86" s="1338"/>
      <c r="N86" s="1282">
        <f>F86*M86</f>
        <v>0</v>
      </c>
      <c r="O86" s="1338"/>
      <c r="P86" s="1282">
        <f>F86*O86</f>
        <v>0</v>
      </c>
      <c r="Q86" s="1338"/>
      <c r="R86" s="1282">
        <f>F86*Q86</f>
        <v>0</v>
      </c>
      <c r="S86" s="1338"/>
      <c r="T86" s="1283">
        <f>F86*S86</f>
        <v>0</v>
      </c>
      <c r="U86" s="1284">
        <f>G86+I86+K86+M86+O86+Q86+S86</f>
        <v>0</v>
      </c>
      <c r="V86" s="1285">
        <f>U86*F86</f>
        <v>0</v>
      </c>
    </row>
    <row r="87" spans="2:22" s="306" customFormat="1" ht="15" outlineLevel="1">
      <c r="B87" s="1278" t="s">
        <v>1495</v>
      </c>
      <c r="C87" s="1279" t="s">
        <v>1493</v>
      </c>
      <c r="D87" s="1280" t="s">
        <v>755</v>
      </c>
      <c r="E87" s="1251" t="s">
        <v>757</v>
      </c>
      <c r="F87" s="1281">
        <v>2420</v>
      </c>
      <c r="G87" s="1338"/>
      <c r="H87" s="1282">
        <f t="shared" si="1"/>
        <v>0</v>
      </c>
      <c r="I87" s="1338"/>
      <c r="J87" s="1282">
        <f t="shared" ref="J87:J112" si="2">F87*I87</f>
        <v>0</v>
      </c>
      <c r="K87" s="1338"/>
      <c r="L87" s="1282">
        <f t="shared" ref="L87:L112" si="3">F87*K87</f>
        <v>0</v>
      </c>
      <c r="M87" s="1338"/>
      <c r="N87" s="1282">
        <f t="shared" ref="N87:N112" si="4">F87*M87</f>
        <v>0</v>
      </c>
      <c r="O87" s="1338"/>
      <c r="P87" s="1282">
        <f t="shared" ref="P87:P112" si="5">F87*O87</f>
        <v>0</v>
      </c>
      <c r="Q87" s="1338"/>
      <c r="R87" s="1282">
        <f t="shared" ref="R87:R112" si="6">F87*Q87</f>
        <v>0</v>
      </c>
      <c r="S87" s="1338"/>
      <c r="T87" s="1283">
        <f t="shared" ref="T87:T112" si="7">F87*S87</f>
        <v>0</v>
      </c>
      <c r="U87" s="1284">
        <f t="shared" ref="U87:U140" si="8">G87+I87+K87+M87+O87+Q87+S87</f>
        <v>0</v>
      </c>
      <c r="V87" s="1285">
        <f t="shared" ref="V87:V140" si="9">U87*F87</f>
        <v>0</v>
      </c>
    </row>
    <row r="88" spans="2:22" s="755" customFormat="1" outlineLevel="1">
      <c r="B88" s="1278" t="s">
        <v>1496</v>
      </c>
      <c r="C88" s="1279" t="s">
        <v>1493</v>
      </c>
      <c r="D88" s="1280" t="s">
        <v>755</v>
      </c>
      <c r="E88" s="1251" t="s">
        <v>758</v>
      </c>
      <c r="F88" s="1281">
        <v>3872</v>
      </c>
      <c r="G88" s="1338"/>
      <c r="H88" s="1282">
        <f t="shared" si="1"/>
        <v>0</v>
      </c>
      <c r="I88" s="1338"/>
      <c r="J88" s="1282">
        <f t="shared" si="2"/>
        <v>0</v>
      </c>
      <c r="K88" s="1338"/>
      <c r="L88" s="1282">
        <f t="shared" si="3"/>
        <v>0</v>
      </c>
      <c r="M88" s="1338"/>
      <c r="N88" s="1282">
        <f t="shared" si="4"/>
        <v>0</v>
      </c>
      <c r="O88" s="1338"/>
      <c r="P88" s="1282">
        <f t="shared" si="5"/>
        <v>0</v>
      </c>
      <c r="Q88" s="1338"/>
      <c r="R88" s="1282">
        <f t="shared" si="6"/>
        <v>0</v>
      </c>
      <c r="S88" s="1338"/>
      <c r="T88" s="1283">
        <f t="shared" si="7"/>
        <v>0</v>
      </c>
      <c r="U88" s="1284">
        <f t="shared" si="8"/>
        <v>0</v>
      </c>
      <c r="V88" s="1285">
        <f t="shared" si="9"/>
        <v>0</v>
      </c>
    </row>
    <row r="89" spans="2:22" s="755" customFormat="1" outlineLevel="1">
      <c r="B89" s="1278" t="s">
        <v>1497</v>
      </c>
      <c r="C89" s="1279" t="s">
        <v>1493</v>
      </c>
      <c r="D89" s="1280" t="s">
        <v>755</v>
      </c>
      <c r="E89" s="1251" t="s">
        <v>759</v>
      </c>
      <c r="F89" s="1281">
        <v>6050</v>
      </c>
      <c r="G89" s="1338"/>
      <c r="H89" s="1282">
        <f t="shared" si="1"/>
        <v>0</v>
      </c>
      <c r="I89" s="1338"/>
      <c r="J89" s="1282">
        <f t="shared" si="2"/>
        <v>0</v>
      </c>
      <c r="K89" s="1338"/>
      <c r="L89" s="1282">
        <f t="shared" si="3"/>
        <v>0</v>
      </c>
      <c r="M89" s="1338"/>
      <c r="N89" s="1282">
        <f t="shared" si="4"/>
        <v>0</v>
      </c>
      <c r="O89" s="1338"/>
      <c r="P89" s="1282">
        <f t="shared" si="5"/>
        <v>0</v>
      </c>
      <c r="Q89" s="1338"/>
      <c r="R89" s="1282">
        <f t="shared" si="6"/>
        <v>0</v>
      </c>
      <c r="S89" s="1338"/>
      <c r="T89" s="1283">
        <f t="shared" si="7"/>
        <v>0</v>
      </c>
      <c r="U89" s="1284">
        <f t="shared" si="8"/>
        <v>0</v>
      </c>
      <c r="V89" s="1285">
        <f t="shared" si="9"/>
        <v>0</v>
      </c>
    </row>
    <row r="90" spans="2:22" s="755" customFormat="1" outlineLevel="1">
      <c r="B90" s="1278" t="s">
        <v>1498</v>
      </c>
      <c r="C90" s="1279" t="s">
        <v>1493</v>
      </c>
      <c r="D90" s="1280" t="s">
        <v>755</v>
      </c>
      <c r="E90" s="1251" t="s">
        <v>760</v>
      </c>
      <c r="F90" s="1281">
        <v>8470</v>
      </c>
      <c r="G90" s="1338"/>
      <c r="H90" s="1282">
        <f t="shared" si="1"/>
        <v>0</v>
      </c>
      <c r="I90" s="1338"/>
      <c r="J90" s="1282">
        <f t="shared" si="2"/>
        <v>0</v>
      </c>
      <c r="K90" s="1338"/>
      <c r="L90" s="1282">
        <f t="shared" si="3"/>
        <v>0</v>
      </c>
      <c r="M90" s="1338"/>
      <c r="N90" s="1282">
        <f t="shared" si="4"/>
        <v>0</v>
      </c>
      <c r="O90" s="1338"/>
      <c r="P90" s="1282">
        <f t="shared" si="5"/>
        <v>0</v>
      </c>
      <c r="Q90" s="1338"/>
      <c r="R90" s="1282">
        <f t="shared" si="6"/>
        <v>0</v>
      </c>
      <c r="S90" s="1338"/>
      <c r="T90" s="1283">
        <f t="shared" si="7"/>
        <v>0</v>
      </c>
      <c r="U90" s="1284">
        <f t="shared" si="8"/>
        <v>0</v>
      </c>
      <c r="V90" s="1285">
        <f t="shared" si="9"/>
        <v>0</v>
      </c>
    </row>
    <row r="91" spans="2:22" s="755" customFormat="1" outlineLevel="1">
      <c r="B91" s="1278" t="s">
        <v>1499</v>
      </c>
      <c r="C91" s="1279" t="s">
        <v>1493</v>
      </c>
      <c r="D91" s="1280" t="s">
        <v>755</v>
      </c>
      <c r="E91" s="1251" t="s">
        <v>761</v>
      </c>
      <c r="F91" s="1281">
        <v>10890</v>
      </c>
      <c r="G91" s="1338"/>
      <c r="H91" s="1282">
        <f t="shared" si="1"/>
        <v>0</v>
      </c>
      <c r="I91" s="1338"/>
      <c r="J91" s="1282">
        <f t="shared" si="2"/>
        <v>0</v>
      </c>
      <c r="K91" s="1338"/>
      <c r="L91" s="1282">
        <f t="shared" si="3"/>
        <v>0</v>
      </c>
      <c r="M91" s="1338"/>
      <c r="N91" s="1282">
        <f t="shared" si="4"/>
        <v>0</v>
      </c>
      <c r="O91" s="1338"/>
      <c r="P91" s="1282">
        <f t="shared" si="5"/>
        <v>0</v>
      </c>
      <c r="Q91" s="1338"/>
      <c r="R91" s="1282">
        <f t="shared" si="6"/>
        <v>0</v>
      </c>
      <c r="S91" s="1338"/>
      <c r="T91" s="1283">
        <f t="shared" si="7"/>
        <v>0</v>
      </c>
      <c r="U91" s="1284">
        <f t="shared" si="8"/>
        <v>0</v>
      </c>
      <c r="V91" s="1285">
        <f t="shared" si="9"/>
        <v>0</v>
      </c>
    </row>
    <row r="92" spans="2:22" s="755" customFormat="1" outlineLevel="1">
      <c r="B92" s="1278" t="s">
        <v>1500</v>
      </c>
      <c r="C92" s="1279" t="s">
        <v>1493</v>
      </c>
      <c r="D92" s="1280" t="s">
        <v>755</v>
      </c>
      <c r="E92" s="1251" t="s">
        <v>762</v>
      </c>
      <c r="F92" s="1281">
        <v>13310</v>
      </c>
      <c r="G92" s="1338"/>
      <c r="H92" s="1282">
        <f t="shared" si="1"/>
        <v>0</v>
      </c>
      <c r="I92" s="1338"/>
      <c r="J92" s="1282">
        <f t="shared" si="2"/>
        <v>0</v>
      </c>
      <c r="K92" s="1338"/>
      <c r="L92" s="1282">
        <f t="shared" si="3"/>
        <v>0</v>
      </c>
      <c r="M92" s="1338"/>
      <c r="N92" s="1282">
        <f t="shared" si="4"/>
        <v>0</v>
      </c>
      <c r="O92" s="1338"/>
      <c r="P92" s="1282">
        <f t="shared" si="5"/>
        <v>0</v>
      </c>
      <c r="Q92" s="1338"/>
      <c r="R92" s="1282">
        <f t="shared" si="6"/>
        <v>0</v>
      </c>
      <c r="S92" s="1338"/>
      <c r="T92" s="1283">
        <f t="shared" si="7"/>
        <v>0</v>
      </c>
      <c r="U92" s="1284">
        <f t="shared" si="8"/>
        <v>0</v>
      </c>
      <c r="V92" s="1285">
        <f t="shared" si="9"/>
        <v>0</v>
      </c>
    </row>
    <row r="93" spans="2:22" s="755" customFormat="1" outlineLevel="1">
      <c r="B93" s="1278" t="s">
        <v>1501</v>
      </c>
      <c r="C93" s="1279" t="s">
        <v>1493</v>
      </c>
      <c r="D93" s="1280" t="s">
        <v>755</v>
      </c>
      <c r="E93" s="1251" t="s">
        <v>763</v>
      </c>
      <c r="F93" s="1281">
        <v>16940</v>
      </c>
      <c r="G93" s="1338"/>
      <c r="H93" s="1282">
        <f t="shared" si="1"/>
        <v>0</v>
      </c>
      <c r="I93" s="1338"/>
      <c r="J93" s="1282">
        <f t="shared" si="2"/>
        <v>0</v>
      </c>
      <c r="K93" s="1338"/>
      <c r="L93" s="1282">
        <f t="shared" si="3"/>
        <v>0</v>
      </c>
      <c r="M93" s="1338"/>
      <c r="N93" s="1282">
        <f>F93*M93</f>
        <v>0</v>
      </c>
      <c r="O93" s="1338"/>
      <c r="P93" s="1282">
        <f t="shared" si="5"/>
        <v>0</v>
      </c>
      <c r="Q93" s="1338"/>
      <c r="R93" s="1282">
        <f t="shared" si="6"/>
        <v>0</v>
      </c>
      <c r="S93" s="1338"/>
      <c r="T93" s="1283">
        <f t="shared" si="7"/>
        <v>0</v>
      </c>
      <c r="U93" s="1284">
        <f t="shared" si="8"/>
        <v>0</v>
      </c>
      <c r="V93" s="1285">
        <f t="shared" si="9"/>
        <v>0</v>
      </c>
    </row>
    <row r="94" spans="2:22" s="755" customFormat="1" outlineLevel="1">
      <c r="B94" s="1278" t="s">
        <v>1502</v>
      </c>
      <c r="C94" s="1279" t="s">
        <v>1493</v>
      </c>
      <c r="D94" s="1280" t="s">
        <v>755</v>
      </c>
      <c r="E94" s="1251" t="s">
        <v>764</v>
      </c>
      <c r="F94" s="1281">
        <v>21780</v>
      </c>
      <c r="G94" s="1338"/>
      <c r="H94" s="1282">
        <f t="shared" si="1"/>
        <v>0</v>
      </c>
      <c r="I94" s="1338"/>
      <c r="J94" s="1282">
        <f t="shared" si="2"/>
        <v>0</v>
      </c>
      <c r="K94" s="1338"/>
      <c r="L94" s="1282">
        <f t="shared" si="3"/>
        <v>0</v>
      </c>
      <c r="M94" s="1338"/>
      <c r="N94" s="1282">
        <f t="shared" si="4"/>
        <v>0</v>
      </c>
      <c r="O94" s="1338"/>
      <c r="P94" s="1282">
        <f t="shared" si="5"/>
        <v>0</v>
      </c>
      <c r="Q94" s="1338"/>
      <c r="R94" s="1282">
        <f t="shared" si="6"/>
        <v>0</v>
      </c>
      <c r="S94" s="1338"/>
      <c r="T94" s="1283">
        <f t="shared" si="7"/>
        <v>0</v>
      </c>
      <c r="U94" s="1284">
        <f t="shared" si="8"/>
        <v>0</v>
      </c>
      <c r="V94" s="1285">
        <f t="shared" si="9"/>
        <v>0</v>
      </c>
    </row>
    <row r="95" spans="2:22" s="755" customFormat="1" outlineLevel="1">
      <c r="B95" s="1278" t="s">
        <v>1503</v>
      </c>
      <c r="C95" s="1279" t="s">
        <v>1493</v>
      </c>
      <c r="D95" s="1280" t="s">
        <v>755</v>
      </c>
      <c r="E95" s="1251" t="s">
        <v>765</v>
      </c>
      <c r="F95" s="1281">
        <v>26620</v>
      </c>
      <c r="G95" s="1338"/>
      <c r="H95" s="1282">
        <f t="shared" si="1"/>
        <v>0</v>
      </c>
      <c r="I95" s="1338"/>
      <c r="J95" s="1282">
        <f t="shared" si="2"/>
        <v>0</v>
      </c>
      <c r="K95" s="1338"/>
      <c r="L95" s="1282">
        <f t="shared" si="3"/>
        <v>0</v>
      </c>
      <c r="M95" s="1338"/>
      <c r="N95" s="1282">
        <f t="shared" si="4"/>
        <v>0</v>
      </c>
      <c r="O95" s="1338"/>
      <c r="P95" s="1282">
        <f t="shared" si="5"/>
        <v>0</v>
      </c>
      <c r="Q95" s="1338"/>
      <c r="R95" s="1282">
        <f t="shared" si="6"/>
        <v>0</v>
      </c>
      <c r="S95" s="1338"/>
      <c r="T95" s="1283">
        <f t="shared" si="7"/>
        <v>0</v>
      </c>
      <c r="U95" s="1284">
        <f t="shared" si="8"/>
        <v>0</v>
      </c>
      <c r="V95" s="1285">
        <f t="shared" si="9"/>
        <v>0</v>
      </c>
    </row>
    <row r="96" spans="2:22" s="755" customFormat="1" outlineLevel="1">
      <c r="B96" s="1278" t="s">
        <v>1504</v>
      </c>
      <c r="C96" s="1279" t="s">
        <v>1493</v>
      </c>
      <c r="D96" s="1280" t="s">
        <v>755</v>
      </c>
      <c r="E96" s="1251" t="s">
        <v>766</v>
      </c>
      <c r="F96" s="1281">
        <v>31460</v>
      </c>
      <c r="G96" s="1338"/>
      <c r="H96" s="1282">
        <f t="shared" si="1"/>
        <v>0</v>
      </c>
      <c r="I96" s="1338"/>
      <c r="J96" s="1282">
        <f t="shared" si="2"/>
        <v>0</v>
      </c>
      <c r="K96" s="1338"/>
      <c r="L96" s="1282">
        <f t="shared" si="3"/>
        <v>0</v>
      </c>
      <c r="M96" s="1338"/>
      <c r="N96" s="1282">
        <f t="shared" si="4"/>
        <v>0</v>
      </c>
      <c r="O96" s="1338"/>
      <c r="P96" s="1282">
        <f t="shared" si="5"/>
        <v>0</v>
      </c>
      <c r="Q96" s="1338"/>
      <c r="R96" s="1282">
        <f t="shared" si="6"/>
        <v>0</v>
      </c>
      <c r="S96" s="1338"/>
      <c r="T96" s="1283">
        <f t="shared" si="7"/>
        <v>0</v>
      </c>
      <c r="U96" s="1284">
        <f t="shared" si="8"/>
        <v>0</v>
      </c>
      <c r="V96" s="1285">
        <f t="shared" si="9"/>
        <v>0</v>
      </c>
    </row>
    <row r="97" spans="2:22" s="755" customFormat="1" outlineLevel="1">
      <c r="B97" s="1278" t="s">
        <v>1505</v>
      </c>
      <c r="C97" s="1279" t="s">
        <v>1493</v>
      </c>
      <c r="D97" s="1280" t="s">
        <v>755</v>
      </c>
      <c r="E97" s="1251" t="s">
        <v>767</v>
      </c>
      <c r="F97" s="1281">
        <v>36300</v>
      </c>
      <c r="G97" s="1338"/>
      <c r="H97" s="1282">
        <f t="shared" si="1"/>
        <v>0</v>
      </c>
      <c r="I97" s="1338"/>
      <c r="J97" s="1282">
        <f t="shared" si="2"/>
        <v>0</v>
      </c>
      <c r="K97" s="1338"/>
      <c r="L97" s="1282">
        <f t="shared" si="3"/>
        <v>0</v>
      </c>
      <c r="M97" s="1338"/>
      <c r="N97" s="1282">
        <f t="shared" si="4"/>
        <v>0</v>
      </c>
      <c r="O97" s="1338"/>
      <c r="P97" s="1282">
        <f t="shared" si="5"/>
        <v>0</v>
      </c>
      <c r="Q97" s="1338"/>
      <c r="R97" s="1282">
        <f t="shared" si="6"/>
        <v>0</v>
      </c>
      <c r="S97" s="1338"/>
      <c r="T97" s="1283">
        <f t="shared" si="7"/>
        <v>0</v>
      </c>
      <c r="U97" s="1284">
        <f t="shared" si="8"/>
        <v>0</v>
      </c>
      <c r="V97" s="1285">
        <f t="shared" si="9"/>
        <v>0</v>
      </c>
    </row>
    <row r="98" spans="2:22" s="755" customFormat="1" outlineLevel="1">
      <c r="B98" s="1278" t="s">
        <v>1506</v>
      </c>
      <c r="C98" s="1279" t="s">
        <v>1493</v>
      </c>
      <c r="D98" s="1280" t="s">
        <v>755</v>
      </c>
      <c r="E98" s="1251" t="s">
        <v>768</v>
      </c>
      <c r="F98" s="1281">
        <v>41140</v>
      </c>
      <c r="G98" s="1338"/>
      <c r="H98" s="1282">
        <f t="shared" si="1"/>
        <v>0</v>
      </c>
      <c r="I98" s="1338"/>
      <c r="J98" s="1282">
        <f t="shared" si="2"/>
        <v>0</v>
      </c>
      <c r="K98" s="1338"/>
      <c r="L98" s="1282">
        <f t="shared" si="3"/>
        <v>0</v>
      </c>
      <c r="M98" s="1338"/>
      <c r="N98" s="1282">
        <f t="shared" si="4"/>
        <v>0</v>
      </c>
      <c r="O98" s="1338"/>
      <c r="P98" s="1282">
        <f t="shared" si="5"/>
        <v>0</v>
      </c>
      <c r="Q98" s="1338"/>
      <c r="R98" s="1282">
        <f t="shared" si="6"/>
        <v>0</v>
      </c>
      <c r="S98" s="1338"/>
      <c r="T98" s="1283">
        <f t="shared" si="7"/>
        <v>0</v>
      </c>
      <c r="U98" s="1284">
        <f t="shared" si="8"/>
        <v>0</v>
      </c>
      <c r="V98" s="1285">
        <f t="shared" si="9"/>
        <v>0</v>
      </c>
    </row>
    <row r="99" spans="2:22" s="755" customFormat="1" outlineLevel="1">
      <c r="B99" s="1278" t="s">
        <v>1507</v>
      </c>
      <c r="C99" s="1279" t="s">
        <v>1493</v>
      </c>
      <c r="D99" s="1280" t="s">
        <v>755</v>
      </c>
      <c r="E99" s="1251" t="s">
        <v>769</v>
      </c>
      <c r="F99" s="1281">
        <v>45980</v>
      </c>
      <c r="G99" s="1338"/>
      <c r="H99" s="1282">
        <f t="shared" si="1"/>
        <v>0</v>
      </c>
      <c r="I99" s="1338"/>
      <c r="J99" s="1282">
        <f t="shared" si="2"/>
        <v>0</v>
      </c>
      <c r="K99" s="1338"/>
      <c r="L99" s="1282">
        <f t="shared" si="3"/>
        <v>0</v>
      </c>
      <c r="M99" s="1338"/>
      <c r="N99" s="1282">
        <f t="shared" si="4"/>
        <v>0</v>
      </c>
      <c r="O99" s="1338"/>
      <c r="P99" s="1282">
        <f t="shared" si="5"/>
        <v>0</v>
      </c>
      <c r="Q99" s="1338"/>
      <c r="R99" s="1282">
        <f t="shared" si="6"/>
        <v>0</v>
      </c>
      <c r="S99" s="1338"/>
      <c r="T99" s="1283">
        <f t="shared" si="7"/>
        <v>0</v>
      </c>
      <c r="U99" s="1284">
        <f t="shared" si="8"/>
        <v>0</v>
      </c>
      <c r="V99" s="1285">
        <f t="shared" si="9"/>
        <v>0</v>
      </c>
    </row>
    <row r="100" spans="2:22" s="306" customFormat="1" ht="15" outlineLevel="1">
      <c r="B100" s="1278" t="s">
        <v>1508</v>
      </c>
      <c r="C100" s="1279" t="s">
        <v>1493</v>
      </c>
      <c r="D100" s="1280" t="s">
        <v>755</v>
      </c>
      <c r="E100" s="1251" t="s">
        <v>770</v>
      </c>
      <c r="F100" s="1281">
        <v>50820</v>
      </c>
      <c r="G100" s="1338"/>
      <c r="H100" s="1282">
        <f t="shared" si="1"/>
        <v>0</v>
      </c>
      <c r="I100" s="1338"/>
      <c r="J100" s="1282">
        <f t="shared" si="2"/>
        <v>0</v>
      </c>
      <c r="K100" s="1338"/>
      <c r="L100" s="1282">
        <f t="shared" si="3"/>
        <v>0</v>
      </c>
      <c r="M100" s="1338"/>
      <c r="N100" s="1282">
        <f t="shared" si="4"/>
        <v>0</v>
      </c>
      <c r="O100" s="1338"/>
      <c r="P100" s="1282">
        <f t="shared" si="5"/>
        <v>0</v>
      </c>
      <c r="Q100" s="1338"/>
      <c r="R100" s="1282">
        <f t="shared" si="6"/>
        <v>0</v>
      </c>
      <c r="S100" s="1338"/>
      <c r="T100" s="1283">
        <f t="shared" si="7"/>
        <v>0</v>
      </c>
      <c r="U100" s="1284">
        <f t="shared" si="8"/>
        <v>0</v>
      </c>
      <c r="V100" s="1285">
        <f t="shared" si="9"/>
        <v>0</v>
      </c>
    </row>
    <row r="101" spans="2:22" s="755" customFormat="1" ht="15.75" customHeight="1">
      <c r="B101" s="1270" t="s">
        <v>2004</v>
      </c>
      <c r="C101" s="1271" t="s">
        <v>771</v>
      </c>
      <c r="D101" s="1271"/>
      <c r="E101" s="1272"/>
      <c r="F101" s="1273"/>
      <c r="G101" s="1354"/>
      <c r="H101" s="1275"/>
      <c r="I101" s="1354"/>
      <c r="J101" s="1275"/>
      <c r="K101" s="1354"/>
      <c r="L101" s="1275"/>
      <c r="M101" s="1354"/>
      <c r="N101" s="1275"/>
      <c r="O101" s="1354"/>
      <c r="P101" s="1275"/>
      <c r="Q101" s="1354"/>
      <c r="R101" s="1275"/>
      <c r="S101" s="1354"/>
      <c r="T101" s="1275"/>
      <c r="U101" s="1276"/>
      <c r="V101" s="1277"/>
    </row>
    <row r="102" spans="2:22" s="668" customFormat="1" outlineLevel="1">
      <c r="B102" s="1278" t="s">
        <v>1509</v>
      </c>
      <c r="C102" s="1279" t="s">
        <v>771</v>
      </c>
      <c r="D102" s="1286" t="s">
        <v>772</v>
      </c>
      <c r="E102" s="1287" t="s">
        <v>773</v>
      </c>
      <c r="F102" s="1281">
        <v>2402.4</v>
      </c>
      <c r="G102" s="1338"/>
      <c r="H102" s="1282">
        <f t="shared" si="1"/>
        <v>0</v>
      </c>
      <c r="I102" s="1338"/>
      <c r="J102" s="1282">
        <f t="shared" si="2"/>
        <v>0</v>
      </c>
      <c r="K102" s="1338"/>
      <c r="L102" s="1282">
        <f t="shared" si="3"/>
        <v>0</v>
      </c>
      <c r="M102" s="1338"/>
      <c r="N102" s="1282">
        <f t="shared" si="4"/>
        <v>0</v>
      </c>
      <c r="O102" s="1338"/>
      <c r="P102" s="1282">
        <f t="shared" si="5"/>
        <v>0</v>
      </c>
      <c r="Q102" s="1338"/>
      <c r="R102" s="1282">
        <f t="shared" si="6"/>
        <v>0</v>
      </c>
      <c r="S102" s="1338"/>
      <c r="T102" s="1283">
        <f t="shared" si="7"/>
        <v>0</v>
      </c>
      <c r="U102" s="1284">
        <f t="shared" si="8"/>
        <v>0</v>
      </c>
      <c r="V102" s="1285">
        <f t="shared" si="9"/>
        <v>0</v>
      </c>
    </row>
    <row r="103" spans="2:22" s="755" customFormat="1" outlineLevel="1">
      <c r="B103" s="1278" t="s">
        <v>1510</v>
      </c>
      <c r="C103" s="1279" t="s">
        <v>771</v>
      </c>
      <c r="D103" s="1286" t="s">
        <v>772</v>
      </c>
      <c r="E103" s="1287" t="s">
        <v>774</v>
      </c>
      <c r="F103" s="1281">
        <v>2772</v>
      </c>
      <c r="G103" s="1338"/>
      <c r="H103" s="1282">
        <f t="shared" si="1"/>
        <v>0</v>
      </c>
      <c r="I103" s="1338"/>
      <c r="J103" s="1282">
        <f t="shared" si="2"/>
        <v>0</v>
      </c>
      <c r="K103" s="1338"/>
      <c r="L103" s="1282">
        <f t="shared" si="3"/>
        <v>0</v>
      </c>
      <c r="M103" s="1338"/>
      <c r="N103" s="1282">
        <f t="shared" si="4"/>
        <v>0</v>
      </c>
      <c r="O103" s="1338"/>
      <c r="P103" s="1282">
        <f t="shared" si="5"/>
        <v>0</v>
      </c>
      <c r="Q103" s="1338"/>
      <c r="R103" s="1282">
        <f t="shared" si="6"/>
        <v>0</v>
      </c>
      <c r="S103" s="1338"/>
      <c r="T103" s="1283">
        <f t="shared" si="7"/>
        <v>0</v>
      </c>
      <c r="U103" s="1284">
        <f t="shared" si="8"/>
        <v>0</v>
      </c>
      <c r="V103" s="1285">
        <f t="shared" si="9"/>
        <v>0</v>
      </c>
    </row>
    <row r="104" spans="2:22" s="306" customFormat="1" ht="15" outlineLevel="1">
      <c r="B104" s="1278" t="s">
        <v>1511</v>
      </c>
      <c r="C104" s="1279" t="s">
        <v>771</v>
      </c>
      <c r="D104" s="1286" t="s">
        <v>772</v>
      </c>
      <c r="E104" s="1287" t="s">
        <v>775</v>
      </c>
      <c r="F104" s="1281">
        <v>3141.6000000000004</v>
      </c>
      <c r="G104" s="1338"/>
      <c r="H104" s="1282">
        <f t="shared" si="1"/>
        <v>0</v>
      </c>
      <c r="I104" s="1338"/>
      <c r="J104" s="1282">
        <f t="shared" si="2"/>
        <v>0</v>
      </c>
      <c r="K104" s="1338"/>
      <c r="L104" s="1282">
        <f t="shared" si="3"/>
        <v>0</v>
      </c>
      <c r="M104" s="1338"/>
      <c r="N104" s="1282">
        <f t="shared" si="4"/>
        <v>0</v>
      </c>
      <c r="O104" s="1338"/>
      <c r="P104" s="1282">
        <f t="shared" si="5"/>
        <v>0</v>
      </c>
      <c r="Q104" s="1338"/>
      <c r="R104" s="1282">
        <f t="shared" si="6"/>
        <v>0</v>
      </c>
      <c r="S104" s="1338"/>
      <c r="T104" s="1283">
        <f t="shared" si="7"/>
        <v>0</v>
      </c>
      <c r="U104" s="1284">
        <f t="shared" si="8"/>
        <v>0</v>
      </c>
      <c r="V104" s="1285">
        <f t="shared" si="9"/>
        <v>0</v>
      </c>
    </row>
    <row r="105" spans="2:22" s="755" customFormat="1" outlineLevel="1">
      <c r="B105" s="1278" t="s">
        <v>1512</v>
      </c>
      <c r="C105" s="1279" t="s">
        <v>771</v>
      </c>
      <c r="D105" s="1286" t="s">
        <v>772</v>
      </c>
      <c r="E105" s="1287" t="s">
        <v>776</v>
      </c>
      <c r="F105" s="1281">
        <v>3511.2000000000003</v>
      </c>
      <c r="G105" s="1338"/>
      <c r="H105" s="1282">
        <f t="shared" si="1"/>
        <v>0</v>
      </c>
      <c r="I105" s="1338"/>
      <c r="J105" s="1282">
        <f t="shared" si="2"/>
        <v>0</v>
      </c>
      <c r="K105" s="1338"/>
      <c r="L105" s="1282">
        <f t="shared" si="3"/>
        <v>0</v>
      </c>
      <c r="M105" s="1338"/>
      <c r="N105" s="1282">
        <f t="shared" si="4"/>
        <v>0</v>
      </c>
      <c r="O105" s="1338"/>
      <c r="P105" s="1282">
        <f t="shared" si="5"/>
        <v>0</v>
      </c>
      <c r="Q105" s="1338"/>
      <c r="R105" s="1282">
        <f t="shared" si="6"/>
        <v>0</v>
      </c>
      <c r="S105" s="1338"/>
      <c r="T105" s="1283">
        <f t="shared" si="7"/>
        <v>0</v>
      </c>
      <c r="U105" s="1284">
        <f t="shared" si="8"/>
        <v>0</v>
      </c>
      <c r="V105" s="1285">
        <f t="shared" si="9"/>
        <v>0</v>
      </c>
    </row>
    <row r="106" spans="2:22" s="755" customFormat="1" outlineLevel="1">
      <c r="B106" s="1278" t="s">
        <v>1513</v>
      </c>
      <c r="C106" s="1279" t="s">
        <v>771</v>
      </c>
      <c r="D106" s="1286" t="s">
        <v>772</v>
      </c>
      <c r="E106" s="1287" t="s">
        <v>777</v>
      </c>
      <c r="F106" s="1281">
        <v>3880.8</v>
      </c>
      <c r="G106" s="1338"/>
      <c r="H106" s="1282">
        <f t="shared" si="1"/>
        <v>0</v>
      </c>
      <c r="I106" s="1338"/>
      <c r="J106" s="1282">
        <f t="shared" si="2"/>
        <v>0</v>
      </c>
      <c r="K106" s="1338"/>
      <c r="L106" s="1282">
        <f t="shared" si="3"/>
        <v>0</v>
      </c>
      <c r="M106" s="1338"/>
      <c r="N106" s="1282">
        <f t="shared" si="4"/>
        <v>0</v>
      </c>
      <c r="O106" s="1338"/>
      <c r="P106" s="1282">
        <f t="shared" si="5"/>
        <v>0</v>
      </c>
      <c r="Q106" s="1338"/>
      <c r="R106" s="1282">
        <f t="shared" si="6"/>
        <v>0</v>
      </c>
      <c r="S106" s="1338"/>
      <c r="T106" s="1283">
        <f t="shared" si="7"/>
        <v>0</v>
      </c>
      <c r="U106" s="1284">
        <f t="shared" si="8"/>
        <v>0</v>
      </c>
      <c r="V106" s="1285">
        <f t="shared" si="9"/>
        <v>0</v>
      </c>
    </row>
    <row r="107" spans="2:22" s="755" customFormat="1" outlineLevel="1">
      <c r="B107" s="1278" t="s">
        <v>1514</v>
      </c>
      <c r="C107" s="1279" t="s">
        <v>771</v>
      </c>
      <c r="D107" s="1286" t="s">
        <v>772</v>
      </c>
      <c r="E107" s="1287" t="s">
        <v>778</v>
      </c>
      <c r="F107" s="1281">
        <v>4250.4000000000005</v>
      </c>
      <c r="G107" s="1338"/>
      <c r="H107" s="1282">
        <f t="shared" si="1"/>
        <v>0</v>
      </c>
      <c r="I107" s="1338"/>
      <c r="J107" s="1282">
        <f t="shared" si="2"/>
        <v>0</v>
      </c>
      <c r="K107" s="1338"/>
      <c r="L107" s="1282">
        <f t="shared" si="3"/>
        <v>0</v>
      </c>
      <c r="M107" s="1338"/>
      <c r="N107" s="1282">
        <f t="shared" si="4"/>
        <v>0</v>
      </c>
      <c r="O107" s="1338"/>
      <c r="P107" s="1282">
        <f t="shared" si="5"/>
        <v>0</v>
      </c>
      <c r="Q107" s="1338"/>
      <c r="R107" s="1282">
        <f t="shared" si="6"/>
        <v>0</v>
      </c>
      <c r="S107" s="1338"/>
      <c r="T107" s="1283">
        <f t="shared" si="7"/>
        <v>0</v>
      </c>
      <c r="U107" s="1284">
        <f t="shared" si="8"/>
        <v>0</v>
      </c>
      <c r="V107" s="1285">
        <f t="shared" si="9"/>
        <v>0</v>
      </c>
    </row>
    <row r="108" spans="2:22" s="755" customFormat="1" outlineLevel="1">
      <c r="B108" s="1278" t="s">
        <v>1515</v>
      </c>
      <c r="C108" s="1279" t="s">
        <v>771</v>
      </c>
      <c r="D108" s="1286" t="s">
        <v>772</v>
      </c>
      <c r="E108" s="1287" t="s">
        <v>779</v>
      </c>
      <c r="F108" s="1281">
        <v>4804.8</v>
      </c>
      <c r="G108" s="1338"/>
      <c r="H108" s="1282">
        <f t="shared" si="1"/>
        <v>0</v>
      </c>
      <c r="I108" s="1338"/>
      <c r="J108" s="1282">
        <f t="shared" si="2"/>
        <v>0</v>
      </c>
      <c r="K108" s="1338"/>
      <c r="L108" s="1282">
        <f t="shared" si="3"/>
        <v>0</v>
      </c>
      <c r="M108" s="1338"/>
      <c r="N108" s="1282">
        <f t="shared" si="4"/>
        <v>0</v>
      </c>
      <c r="O108" s="1338"/>
      <c r="P108" s="1282">
        <f t="shared" si="5"/>
        <v>0</v>
      </c>
      <c r="Q108" s="1338"/>
      <c r="R108" s="1282">
        <f t="shared" si="6"/>
        <v>0</v>
      </c>
      <c r="S108" s="1338"/>
      <c r="T108" s="1283">
        <f t="shared" si="7"/>
        <v>0</v>
      </c>
      <c r="U108" s="1284">
        <f t="shared" si="8"/>
        <v>0</v>
      </c>
      <c r="V108" s="1285">
        <f t="shared" si="9"/>
        <v>0</v>
      </c>
    </row>
    <row r="109" spans="2:22" s="755" customFormat="1" outlineLevel="1">
      <c r="B109" s="1278" t="s">
        <v>1516</v>
      </c>
      <c r="C109" s="1279" t="s">
        <v>771</v>
      </c>
      <c r="D109" s="1286" t="s">
        <v>772</v>
      </c>
      <c r="E109" s="1287" t="s">
        <v>780</v>
      </c>
      <c r="F109" s="1281">
        <v>5544</v>
      </c>
      <c r="G109" s="1338"/>
      <c r="H109" s="1282">
        <f t="shared" si="1"/>
        <v>0</v>
      </c>
      <c r="I109" s="1338"/>
      <c r="J109" s="1282">
        <f t="shared" si="2"/>
        <v>0</v>
      </c>
      <c r="K109" s="1338"/>
      <c r="L109" s="1282">
        <f t="shared" si="3"/>
        <v>0</v>
      </c>
      <c r="M109" s="1338"/>
      <c r="N109" s="1282">
        <f t="shared" si="4"/>
        <v>0</v>
      </c>
      <c r="O109" s="1338"/>
      <c r="P109" s="1282">
        <f t="shared" si="5"/>
        <v>0</v>
      </c>
      <c r="Q109" s="1338"/>
      <c r="R109" s="1282">
        <f t="shared" si="6"/>
        <v>0</v>
      </c>
      <c r="S109" s="1338"/>
      <c r="T109" s="1283">
        <f t="shared" si="7"/>
        <v>0</v>
      </c>
      <c r="U109" s="1284">
        <f t="shared" si="8"/>
        <v>0</v>
      </c>
      <c r="V109" s="1285">
        <f t="shared" si="9"/>
        <v>0</v>
      </c>
    </row>
    <row r="110" spans="2:22" s="755" customFormat="1" outlineLevel="1">
      <c r="B110" s="1278" t="s">
        <v>1517</v>
      </c>
      <c r="C110" s="1279" t="s">
        <v>771</v>
      </c>
      <c r="D110" s="1286" t="s">
        <v>772</v>
      </c>
      <c r="E110" s="1287" t="s">
        <v>781</v>
      </c>
      <c r="F110" s="1281">
        <v>6283.2000000000007</v>
      </c>
      <c r="G110" s="1338"/>
      <c r="H110" s="1282">
        <f t="shared" si="1"/>
        <v>0</v>
      </c>
      <c r="I110" s="1338"/>
      <c r="J110" s="1282">
        <f t="shared" si="2"/>
        <v>0</v>
      </c>
      <c r="K110" s="1338"/>
      <c r="L110" s="1282">
        <f t="shared" si="3"/>
        <v>0</v>
      </c>
      <c r="M110" s="1338"/>
      <c r="N110" s="1282">
        <f t="shared" si="4"/>
        <v>0</v>
      </c>
      <c r="O110" s="1338"/>
      <c r="P110" s="1282">
        <f t="shared" si="5"/>
        <v>0</v>
      </c>
      <c r="Q110" s="1338"/>
      <c r="R110" s="1282">
        <f t="shared" si="6"/>
        <v>0</v>
      </c>
      <c r="S110" s="1338"/>
      <c r="T110" s="1283">
        <f t="shared" si="7"/>
        <v>0</v>
      </c>
      <c r="U110" s="1284">
        <f t="shared" si="8"/>
        <v>0</v>
      </c>
      <c r="V110" s="1285">
        <f t="shared" si="9"/>
        <v>0</v>
      </c>
    </row>
    <row r="111" spans="2:22" s="755" customFormat="1" outlineLevel="1">
      <c r="B111" s="1278" t="s">
        <v>1518</v>
      </c>
      <c r="C111" s="1279" t="s">
        <v>771</v>
      </c>
      <c r="D111" s="1286" t="s">
        <v>772</v>
      </c>
      <c r="E111" s="1287" t="s">
        <v>782</v>
      </c>
      <c r="F111" s="1281">
        <v>7022.4000000000005</v>
      </c>
      <c r="G111" s="1338"/>
      <c r="H111" s="1282">
        <f t="shared" si="1"/>
        <v>0</v>
      </c>
      <c r="I111" s="1338"/>
      <c r="J111" s="1282">
        <f>F111*I111</f>
        <v>0</v>
      </c>
      <c r="K111" s="1338"/>
      <c r="L111" s="1282">
        <f t="shared" si="3"/>
        <v>0</v>
      </c>
      <c r="M111" s="1338"/>
      <c r="N111" s="1282">
        <f t="shared" si="4"/>
        <v>0</v>
      </c>
      <c r="O111" s="1338"/>
      <c r="P111" s="1282">
        <f t="shared" si="5"/>
        <v>0</v>
      </c>
      <c r="Q111" s="1338"/>
      <c r="R111" s="1282">
        <f t="shared" si="6"/>
        <v>0</v>
      </c>
      <c r="S111" s="1338"/>
      <c r="T111" s="1283">
        <f t="shared" si="7"/>
        <v>0</v>
      </c>
      <c r="U111" s="1284">
        <f t="shared" si="8"/>
        <v>0</v>
      </c>
      <c r="V111" s="1285">
        <f t="shared" si="9"/>
        <v>0</v>
      </c>
    </row>
    <row r="112" spans="2:22" s="306" customFormat="1" ht="15" outlineLevel="1">
      <c r="B112" s="1278" t="s">
        <v>1519</v>
      </c>
      <c r="C112" s="1279" t="s">
        <v>771</v>
      </c>
      <c r="D112" s="1286" t="s">
        <v>772</v>
      </c>
      <c r="E112" s="1287" t="s">
        <v>783</v>
      </c>
      <c r="F112" s="1281">
        <v>7761.6</v>
      </c>
      <c r="G112" s="1338"/>
      <c r="H112" s="1282">
        <f>F112*G112</f>
        <v>0</v>
      </c>
      <c r="I112" s="1338"/>
      <c r="J112" s="1282">
        <f t="shared" si="2"/>
        <v>0</v>
      </c>
      <c r="K112" s="1338"/>
      <c r="L112" s="1282">
        <f t="shared" si="3"/>
        <v>0</v>
      </c>
      <c r="M112" s="1338"/>
      <c r="N112" s="1282">
        <f t="shared" si="4"/>
        <v>0</v>
      </c>
      <c r="O112" s="1338"/>
      <c r="P112" s="1282">
        <f t="shared" si="5"/>
        <v>0</v>
      </c>
      <c r="Q112" s="1338"/>
      <c r="R112" s="1282">
        <f t="shared" si="6"/>
        <v>0</v>
      </c>
      <c r="S112" s="1338"/>
      <c r="T112" s="1283">
        <f t="shared" si="7"/>
        <v>0</v>
      </c>
      <c r="U112" s="1284">
        <f t="shared" si="8"/>
        <v>0</v>
      </c>
      <c r="V112" s="1285">
        <f t="shared" si="9"/>
        <v>0</v>
      </c>
    </row>
    <row r="113" spans="2:22" s="755" customFormat="1" outlineLevel="1">
      <c r="B113" s="1278" t="s">
        <v>1520</v>
      </c>
      <c r="C113" s="1279" t="s">
        <v>771</v>
      </c>
      <c r="D113" s="1286" t="s">
        <v>772</v>
      </c>
      <c r="E113" s="1287" t="s">
        <v>784</v>
      </c>
      <c r="F113" s="1281">
        <v>8500.8000000000011</v>
      </c>
      <c r="G113" s="1338"/>
      <c r="H113" s="1282">
        <f>F113*G113</f>
        <v>0</v>
      </c>
      <c r="I113" s="1338"/>
      <c r="J113" s="1282">
        <f t="shared" ref="J113" si="10">F113*I113</f>
        <v>0</v>
      </c>
      <c r="K113" s="1338"/>
      <c r="L113" s="1282">
        <f t="shared" ref="L113" si="11">F113*K113</f>
        <v>0</v>
      </c>
      <c r="M113" s="1338"/>
      <c r="N113" s="1282">
        <f t="shared" ref="N113" si="12">F113*M113</f>
        <v>0</v>
      </c>
      <c r="O113" s="1338"/>
      <c r="P113" s="1282">
        <f t="shared" ref="P113" si="13">F113*O113</f>
        <v>0</v>
      </c>
      <c r="Q113" s="1338"/>
      <c r="R113" s="1282">
        <f t="shared" ref="R113" si="14">F113*Q113</f>
        <v>0</v>
      </c>
      <c r="S113" s="1338"/>
      <c r="T113" s="1283">
        <f t="shared" ref="T113" si="15">F113*S113</f>
        <v>0</v>
      </c>
      <c r="U113" s="1284">
        <f t="shared" ref="U113" si="16">G113+I113+K113+M113+O113+Q113+S113</f>
        <v>0</v>
      </c>
      <c r="V113" s="1285">
        <f t="shared" ref="V113" si="17">U113*F113</f>
        <v>0</v>
      </c>
    </row>
    <row r="114" spans="2:22" s="306" customFormat="1" ht="15" outlineLevel="1">
      <c r="B114" s="1278" t="s">
        <v>1521</v>
      </c>
      <c r="C114" s="1279" t="s">
        <v>771</v>
      </c>
      <c r="D114" s="1286" t="s">
        <v>772</v>
      </c>
      <c r="E114" s="1287" t="s">
        <v>785</v>
      </c>
      <c r="F114" s="1281">
        <v>9240</v>
      </c>
      <c r="G114" s="1338"/>
      <c r="H114" s="1282">
        <f t="shared" ref="H114:H140" si="18">F114*G114</f>
        <v>0</v>
      </c>
      <c r="I114" s="1338"/>
      <c r="J114" s="1282">
        <f t="shared" ref="J114:J140" si="19">F114*I114</f>
        <v>0</v>
      </c>
      <c r="K114" s="1338"/>
      <c r="L114" s="1282">
        <f t="shared" ref="L114:L140" si="20">F114*K114</f>
        <v>0</v>
      </c>
      <c r="M114" s="1338"/>
      <c r="N114" s="1282">
        <f t="shared" ref="N114:N140" si="21">F114*M114</f>
        <v>0</v>
      </c>
      <c r="O114" s="1338"/>
      <c r="P114" s="1282">
        <f t="shared" ref="P114:P140" si="22">F114*O114</f>
        <v>0</v>
      </c>
      <c r="Q114" s="1338"/>
      <c r="R114" s="1282">
        <f t="shared" ref="R114:R140" si="23">F114*Q114</f>
        <v>0</v>
      </c>
      <c r="S114" s="1338"/>
      <c r="T114" s="1283">
        <f t="shared" ref="T114:T140" si="24">F114*S114</f>
        <v>0</v>
      </c>
      <c r="U114" s="1284">
        <f t="shared" si="8"/>
        <v>0</v>
      </c>
      <c r="V114" s="1285">
        <f t="shared" si="9"/>
        <v>0</v>
      </c>
    </row>
    <row r="115" spans="2:22" s="755" customFormat="1" outlineLevel="1">
      <c r="B115" s="1278" t="s">
        <v>1522</v>
      </c>
      <c r="C115" s="1279" t="s">
        <v>771</v>
      </c>
      <c r="D115" s="1286" t="s">
        <v>772</v>
      </c>
      <c r="E115" s="1287" t="s">
        <v>786</v>
      </c>
      <c r="F115" s="1281">
        <v>9979.2000000000007</v>
      </c>
      <c r="G115" s="1338"/>
      <c r="H115" s="1282">
        <f t="shared" si="18"/>
        <v>0</v>
      </c>
      <c r="I115" s="1338"/>
      <c r="J115" s="1282">
        <f t="shared" si="19"/>
        <v>0</v>
      </c>
      <c r="K115" s="1338"/>
      <c r="L115" s="1282">
        <f t="shared" si="20"/>
        <v>0</v>
      </c>
      <c r="M115" s="1338"/>
      <c r="N115" s="1282">
        <f t="shared" si="21"/>
        <v>0</v>
      </c>
      <c r="O115" s="1338"/>
      <c r="P115" s="1282">
        <f t="shared" si="22"/>
        <v>0</v>
      </c>
      <c r="Q115" s="1338"/>
      <c r="R115" s="1282">
        <f t="shared" si="23"/>
        <v>0</v>
      </c>
      <c r="S115" s="1338"/>
      <c r="T115" s="1283">
        <f t="shared" si="24"/>
        <v>0</v>
      </c>
      <c r="U115" s="1284">
        <f t="shared" si="8"/>
        <v>0</v>
      </c>
      <c r="V115" s="1285">
        <f t="shared" si="9"/>
        <v>0</v>
      </c>
    </row>
    <row r="116" spans="2:22" outlineLevel="1">
      <c r="B116" s="1278" t="s">
        <v>1523</v>
      </c>
      <c r="C116" s="1279" t="s">
        <v>771</v>
      </c>
      <c r="D116" s="1286" t="s">
        <v>772</v>
      </c>
      <c r="E116" s="1287" t="s">
        <v>787</v>
      </c>
      <c r="F116" s="1281">
        <v>10718.4</v>
      </c>
      <c r="G116" s="1338"/>
      <c r="H116" s="1282">
        <f t="shared" si="18"/>
        <v>0</v>
      </c>
      <c r="I116" s="1338"/>
      <c r="J116" s="1282">
        <f t="shared" si="19"/>
        <v>0</v>
      </c>
      <c r="K116" s="1338"/>
      <c r="L116" s="1282">
        <f t="shared" si="20"/>
        <v>0</v>
      </c>
      <c r="M116" s="1338"/>
      <c r="N116" s="1282">
        <f t="shared" si="21"/>
        <v>0</v>
      </c>
      <c r="O116" s="1338"/>
      <c r="P116" s="1282">
        <f t="shared" si="22"/>
        <v>0</v>
      </c>
      <c r="Q116" s="1338"/>
      <c r="R116" s="1282">
        <f t="shared" si="23"/>
        <v>0</v>
      </c>
      <c r="S116" s="1338"/>
      <c r="T116" s="1283">
        <f t="shared" si="24"/>
        <v>0</v>
      </c>
      <c r="U116" s="1284">
        <f t="shared" si="8"/>
        <v>0</v>
      </c>
      <c r="V116" s="1285">
        <f t="shared" si="9"/>
        <v>0</v>
      </c>
    </row>
    <row r="117" spans="2:22" outlineLevel="1">
      <c r="B117" s="1278" t="s">
        <v>1524</v>
      </c>
      <c r="C117" s="1279" t="s">
        <v>771</v>
      </c>
      <c r="D117" s="1286" t="s">
        <v>772</v>
      </c>
      <c r="E117" s="1287" t="s">
        <v>788</v>
      </c>
      <c r="F117" s="1281">
        <v>11642.400000000001</v>
      </c>
      <c r="G117" s="1338"/>
      <c r="H117" s="1282">
        <f t="shared" si="18"/>
        <v>0</v>
      </c>
      <c r="I117" s="1338"/>
      <c r="J117" s="1282">
        <f t="shared" si="19"/>
        <v>0</v>
      </c>
      <c r="K117" s="1338"/>
      <c r="L117" s="1282">
        <f t="shared" si="20"/>
        <v>0</v>
      </c>
      <c r="M117" s="1338"/>
      <c r="N117" s="1282">
        <f t="shared" si="21"/>
        <v>0</v>
      </c>
      <c r="O117" s="1338"/>
      <c r="P117" s="1282">
        <f t="shared" si="22"/>
        <v>0</v>
      </c>
      <c r="Q117" s="1338"/>
      <c r="R117" s="1282">
        <f t="shared" si="23"/>
        <v>0</v>
      </c>
      <c r="S117" s="1338"/>
      <c r="T117" s="1283">
        <f t="shared" si="24"/>
        <v>0</v>
      </c>
      <c r="U117" s="1284">
        <f t="shared" si="8"/>
        <v>0</v>
      </c>
      <c r="V117" s="1285">
        <f t="shared" si="9"/>
        <v>0</v>
      </c>
    </row>
    <row r="118" spans="2:22" outlineLevel="1">
      <c r="B118" s="1278" t="s">
        <v>1525</v>
      </c>
      <c r="C118" s="1279" t="s">
        <v>771</v>
      </c>
      <c r="D118" s="1286" t="s">
        <v>772</v>
      </c>
      <c r="E118" s="1287" t="s">
        <v>789</v>
      </c>
      <c r="F118" s="1281">
        <v>12751.2</v>
      </c>
      <c r="G118" s="1338"/>
      <c r="H118" s="1282">
        <f t="shared" si="18"/>
        <v>0</v>
      </c>
      <c r="I118" s="1338"/>
      <c r="J118" s="1282">
        <f t="shared" si="19"/>
        <v>0</v>
      </c>
      <c r="K118" s="1338"/>
      <c r="L118" s="1282">
        <f t="shared" si="20"/>
        <v>0</v>
      </c>
      <c r="M118" s="1338"/>
      <c r="N118" s="1282">
        <f t="shared" si="21"/>
        <v>0</v>
      </c>
      <c r="O118" s="1338"/>
      <c r="P118" s="1282">
        <f t="shared" si="22"/>
        <v>0</v>
      </c>
      <c r="Q118" s="1338"/>
      <c r="R118" s="1282">
        <f t="shared" si="23"/>
        <v>0</v>
      </c>
      <c r="S118" s="1338"/>
      <c r="T118" s="1283">
        <f t="shared" si="24"/>
        <v>0</v>
      </c>
      <c r="U118" s="1284">
        <f t="shared" si="8"/>
        <v>0</v>
      </c>
      <c r="V118" s="1285">
        <f t="shared" si="9"/>
        <v>0</v>
      </c>
    </row>
    <row r="119" spans="2:22" outlineLevel="1">
      <c r="B119" s="1278" t="s">
        <v>1526</v>
      </c>
      <c r="C119" s="1279" t="s">
        <v>771</v>
      </c>
      <c r="D119" s="1286" t="s">
        <v>772</v>
      </c>
      <c r="E119" s="1287" t="s">
        <v>790</v>
      </c>
      <c r="F119" s="1281">
        <v>13860</v>
      </c>
      <c r="G119" s="1338"/>
      <c r="H119" s="1282">
        <f t="shared" si="18"/>
        <v>0</v>
      </c>
      <c r="I119" s="1338"/>
      <c r="J119" s="1282">
        <f t="shared" si="19"/>
        <v>0</v>
      </c>
      <c r="K119" s="1338"/>
      <c r="L119" s="1282">
        <f t="shared" si="20"/>
        <v>0</v>
      </c>
      <c r="M119" s="1338"/>
      <c r="N119" s="1282">
        <f t="shared" si="21"/>
        <v>0</v>
      </c>
      <c r="O119" s="1338"/>
      <c r="P119" s="1282">
        <f t="shared" si="22"/>
        <v>0</v>
      </c>
      <c r="Q119" s="1338"/>
      <c r="R119" s="1282">
        <f t="shared" si="23"/>
        <v>0</v>
      </c>
      <c r="S119" s="1338"/>
      <c r="T119" s="1283">
        <f t="shared" si="24"/>
        <v>0</v>
      </c>
      <c r="U119" s="1284">
        <f t="shared" si="8"/>
        <v>0</v>
      </c>
      <c r="V119" s="1285">
        <f t="shared" si="9"/>
        <v>0</v>
      </c>
    </row>
    <row r="120" spans="2:22" outlineLevel="1">
      <c r="B120" s="1278" t="s">
        <v>1527</v>
      </c>
      <c r="C120" s="1288" t="s">
        <v>771</v>
      </c>
      <c r="D120" s="1286" t="s">
        <v>772</v>
      </c>
      <c r="E120" s="1280" t="s">
        <v>791</v>
      </c>
      <c r="F120" s="1281">
        <v>14968.800000000001</v>
      </c>
      <c r="G120" s="1338"/>
      <c r="H120" s="1282">
        <f t="shared" si="18"/>
        <v>0</v>
      </c>
      <c r="I120" s="1338"/>
      <c r="J120" s="1282">
        <f t="shared" si="19"/>
        <v>0</v>
      </c>
      <c r="K120" s="1338"/>
      <c r="L120" s="1282">
        <f t="shared" si="20"/>
        <v>0</v>
      </c>
      <c r="M120" s="1338"/>
      <c r="N120" s="1282">
        <f t="shared" si="21"/>
        <v>0</v>
      </c>
      <c r="O120" s="1338"/>
      <c r="P120" s="1282">
        <f t="shared" si="22"/>
        <v>0</v>
      </c>
      <c r="Q120" s="1338"/>
      <c r="R120" s="1282">
        <f t="shared" si="23"/>
        <v>0</v>
      </c>
      <c r="S120" s="1338"/>
      <c r="T120" s="1283">
        <f t="shared" si="24"/>
        <v>0</v>
      </c>
      <c r="U120" s="1284">
        <f t="shared" si="8"/>
        <v>0</v>
      </c>
      <c r="V120" s="1285">
        <f t="shared" si="9"/>
        <v>0</v>
      </c>
    </row>
    <row r="121" spans="2:22" s="755" customFormat="1" ht="15.75" customHeight="1">
      <c r="B121" s="1270" t="s">
        <v>2005</v>
      </c>
      <c r="C121" s="1271" t="s">
        <v>792</v>
      </c>
      <c r="D121" s="1271"/>
      <c r="E121" s="1272"/>
      <c r="F121" s="1273"/>
      <c r="G121" s="1354"/>
      <c r="H121" s="1275"/>
      <c r="I121" s="1354"/>
      <c r="J121" s="1275"/>
      <c r="K121" s="1354"/>
      <c r="L121" s="1275"/>
      <c r="M121" s="1354"/>
      <c r="N121" s="1275"/>
      <c r="O121" s="1354"/>
      <c r="P121" s="1275"/>
      <c r="Q121" s="1354"/>
      <c r="R121" s="1275"/>
      <c r="S121" s="1354"/>
      <c r="T121" s="1275"/>
      <c r="U121" s="1276"/>
      <c r="V121" s="1277"/>
    </row>
    <row r="122" spans="2:22" outlineLevel="1">
      <c r="B122" s="1278" t="s">
        <v>1528</v>
      </c>
      <c r="C122" s="1279" t="s">
        <v>792</v>
      </c>
      <c r="D122" s="1289" t="s">
        <v>793</v>
      </c>
      <c r="E122" s="1290" t="s">
        <v>794</v>
      </c>
      <c r="F122" s="1281">
        <v>864.19999999999993</v>
      </c>
      <c r="G122" s="1338"/>
      <c r="H122" s="1282">
        <f t="shared" si="18"/>
        <v>0</v>
      </c>
      <c r="I122" s="1338"/>
      <c r="J122" s="1282">
        <f t="shared" si="19"/>
        <v>0</v>
      </c>
      <c r="K122" s="1338"/>
      <c r="L122" s="1282">
        <f t="shared" si="20"/>
        <v>0</v>
      </c>
      <c r="M122" s="1338"/>
      <c r="N122" s="1282">
        <f t="shared" si="21"/>
        <v>0</v>
      </c>
      <c r="O122" s="1338"/>
      <c r="P122" s="1282">
        <f t="shared" si="22"/>
        <v>0</v>
      </c>
      <c r="Q122" s="1338"/>
      <c r="R122" s="1282">
        <f t="shared" si="23"/>
        <v>0</v>
      </c>
      <c r="S122" s="1338"/>
      <c r="T122" s="1283">
        <f t="shared" si="24"/>
        <v>0</v>
      </c>
      <c r="U122" s="1284">
        <f t="shared" si="8"/>
        <v>0</v>
      </c>
      <c r="V122" s="1285">
        <f t="shared" si="9"/>
        <v>0</v>
      </c>
    </row>
    <row r="123" spans="2:22" outlineLevel="1">
      <c r="B123" s="1278" t="s">
        <v>1529</v>
      </c>
      <c r="C123" s="1279" t="s">
        <v>792</v>
      </c>
      <c r="D123" s="1286" t="s">
        <v>793</v>
      </c>
      <c r="E123" s="1291" t="s">
        <v>795</v>
      </c>
      <c r="F123" s="1281">
        <v>1296.3</v>
      </c>
      <c r="G123" s="1338"/>
      <c r="H123" s="1282">
        <f t="shared" si="18"/>
        <v>0</v>
      </c>
      <c r="I123" s="1338"/>
      <c r="J123" s="1282">
        <f t="shared" si="19"/>
        <v>0</v>
      </c>
      <c r="K123" s="1338"/>
      <c r="L123" s="1282">
        <f t="shared" si="20"/>
        <v>0</v>
      </c>
      <c r="M123" s="1338"/>
      <c r="N123" s="1282">
        <f t="shared" si="21"/>
        <v>0</v>
      </c>
      <c r="O123" s="1338"/>
      <c r="P123" s="1282">
        <f t="shared" si="22"/>
        <v>0</v>
      </c>
      <c r="Q123" s="1338"/>
      <c r="R123" s="1282">
        <f t="shared" si="23"/>
        <v>0</v>
      </c>
      <c r="S123" s="1338"/>
      <c r="T123" s="1283">
        <f t="shared" si="24"/>
        <v>0</v>
      </c>
      <c r="U123" s="1284">
        <f t="shared" si="8"/>
        <v>0</v>
      </c>
      <c r="V123" s="1285">
        <f t="shared" si="9"/>
        <v>0</v>
      </c>
    </row>
    <row r="124" spans="2:22" outlineLevel="1">
      <c r="B124" s="1278" t="s">
        <v>1530</v>
      </c>
      <c r="C124" s="1279" t="s">
        <v>792</v>
      </c>
      <c r="D124" s="1286" t="s">
        <v>793</v>
      </c>
      <c r="E124" s="1291" t="s">
        <v>796</v>
      </c>
      <c r="F124" s="1281">
        <v>1728.3999999999999</v>
      </c>
      <c r="G124" s="1338"/>
      <c r="H124" s="1282">
        <f t="shared" si="18"/>
        <v>0</v>
      </c>
      <c r="I124" s="1338"/>
      <c r="J124" s="1282">
        <f t="shared" si="19"/>
        <v>0</v>
      </c>
      <c r="K124" s="1338"/>
      <c r="L124" s="1282">
        <f t="shared" si="20"/>
        <v>0</v>
      </c>
      <c r="M124" s="1338"/>
      <c r="N124" s="1282">
        <f t="shared" si="21"/>
        <v>0</v>
      </c>
      <c r="O124" s="1338"/>
      <c r="P124" s="1282">
        <f t="shared" si="22"/>
        <v>0</v>
      </c>
      <c r="Q124" s="1338"/>
      <c r="R124" s="1282">
        <f t="shared" si="23"/>
        <v>0</v>
      </c>
      <c r="S124" s="1338"/>
      <c r="T124" s="1283">
        <f t="shared" si="24"/>
        <v>0</v>
      </c>
      <c r="U124" s="1284">
        <f t="shared" si="8"/>
        <v>0</v>
      </c>
      <c r="V124" s="1285">
        <f t="shared" si="9"/>
        <v>0</v>
      </c>
    </row>
    <row r="125" spans="2:22" outlineLevel="1">
      <c r="B125" s="1278" t="s">
        <v>1531</v>
      </c>
      <c r="C125" s="1279" t="s">
        <v>792</v>
      </c>
      <c r="D125" s="1286" t="s">
        <v>793</v>
      </c>
      <c r="E125" s="1291" t="s">
        <v>797</v>
      </c>
      <c r="F125" s="1281">
        <v>2160.5</v>
      </c>
      <c r="G125" s="1338"/>
      <c r="H125" s="1282">
        <f t="shared" si="18"/>
        <v>0</v>
      </c>
      <c r="I125" s="1338"/>
      <c r="J125" s="1282">
        <f t="shared" si="19"/>
        <v>0</v>
      </c>
      <c r="K125" s="1338"/>
      <c r="L125" s="1282">
        <f t="shared" si="20"/>
        <v>0</v>
      </c>
      <c r="M125" s="1338"/>
      <c r="N125" s="1282">
        <f t="shared" si="21"/>
        <v>0</v>
      </c>
      <c r="O125" s="1338"/>
      <c r="P125" s="1282">
        <f t="shared" si="22"/>
        <v>0</v>
      </c>
      <c r="Q125" s="1338"/>
      <c r="R125" s="1282">
        <f t="shared" si="23"/>
        <v>0</v>
      </c>
      <c r="S125" s="1338"/>
      <c r="T125" s="1283">
        <f t="shared" si="24"/>
        <v>0</v>
      </c>
      <c r="U125" s="1284">
        <f t="shared" si="8"/>
        <v>0</v>
      </c>
      <c r="V125" s="1285">
        <f t="shared" si="9"/>
        <v>0</v>
      </c>
    </row>
    <row r="126" spans="2:22" outlineLevel="1">
      <c r="B126" s="1278" t="s">
        <v>1532</v>
      </c>
      <c r="C126" s="1279" t="s">
        <v>792</v>
      </c>
      <c r="D126" s="1286" t="s">
        <v>793</v>
      </c>
      <c r="E126" s="1291" t="s">
        <v>798</v>
      </c>
      <c r="F126" s="1281">
        <v>2592.6</v>
      </c>
      <c r="G126" s="1338"/>
      <c r="H126" s="1282">
        <f t="shared" si="18"/>
        <v>0</v>
      </c>
      <c r="I126" s="1338"/>
      <c r="J126" s="1282">
        <f t="shared" si="19"/>
        <v>0</v>
      </c>
      <c r="K126" s="1338"/>
      <c r="L126" s="1282">
        <f t="shared" si="20"/>
        <v>0</v>
      </c>
      <c r="M126" s="1338"/>
      <c r="N126" s="1282">
        <f t="shared" si="21"/>
        <v>0</v>
      </c>
      <c r="O126" s="1338"/>
      <c r="P126" s="1282">
        <f t="shared" si="22"/>
        <v>0</v>
      </c>
      <c r="Q126" s="1338"/>
      <c r="R126" s="1282">
        <f t="shared" si="23"/>
        <v>0</v>
      </c>
      <c r="S126" s="1338"/>
      <c r="T126" s="1283">
        <f t="shared" si="24"/>
        <v>0</v>
      </c>
      <c r="U126" s="1284">
        <f t="shared" si="8"/>
        <v>0</v>
      </c>
      <c r="V126" s="1285">
        <f t="shared" si="9"/>
        <v>0</v>
      </c>
    </row>
    <row r="127" spans="2:22" outlineLevel="1">
      <c r="B127" s="1278" t="s">
        <v>1533</v>
      </c>
      <c r="C127" s="1279" t="s">
        <v>792</v>
      </c>
      <c r="D127" s="1286" t="s">
        <v>793</v>
      </c>
      <c r="E127" s="1291" t="s">
        <v>799</v>
      </c>
      <c r="F127" s="1281">
        <v>3024.7</v>
      </c>
      <c r="G127" s="1338"/>
      <c r="H127" s="1282">
        <f t="shared" si="18"/>
        <v>0</v>
      </c>
      <c r="I127" s="1338"/>
      <c r="J127" s="1282">
        <f t="shared" si="19"/>
        <v>0</v>
      </c>
      <c r="K127" s="1338"/>
      <c r="L127" s="1282">
        <f t="shared" si="20"/>
        <v>0</v>
      </c>
      <c r="M127" s="1338"/>
      <c r="N127" s="1282">
        <f t="shared" si="21"/>
        <v>0</v>
      </c>
      <c r="O127" s="1338"/>
      <c r="P127" s="1282">
        <f t="shared" si="22"/>
        <v>0</v>
      </c>
      <c r="Q127" s="1338"/>
      <c r="R127" s="1282">
        <f t="shared" si="23"/>
        <v>0</v>
      </c>
      <c r="S127" s="1338"/>
      <c r="T127" s="1283">
        <f t="shared" si="24"/>
        <v>0</v>
      </c>
      <c r="U127" s="1284">
        <f t="shared" si="8"/>
        <v>0</v>
      </c>
      <c r="V127" s="1285">
        <f t="shared" si="9"/>
        <v>0</v>
      </c>
    </row>
    <row r="128" spans="2:22" outlineLevel="1">
      <c r="B128" s="1278" t="s">
        <v>1534</v>
      </c>
      <c r="C128" s="1279" t="s">
        <v>792</v>
      </c>
      <c r="D128" s="1286" t="s">
        <v>793</v>
      </c>
      <c r="E128" s="1291" t="s">
        <v>800</v>
      </c>
      <c r="F128" s="1281">
        <v>3456.7999999999997</v>
      </c>
      <c r="G128" s="1338"/>
      <c r="H128" s="1282">
        <f t="shared" si="18"/>
        <v>0</v>
      </c>
      <c r="I128" s="1338"/>
      <c r="J128" s="1282">
        <f t="shared" si="19"/>
        <v>0</v>
      </c>
      <c r="K128" s="1338"/>
      <c r="L128" s="1282">
        <f t="shared" si="20"/>
        <v>0</v>
      </c>
      <c r="M128" s="1338"/>
      <c r="N128" s="1282">
        <f t="shared" si="21"/>
        <v>0</v>
      </c>
      <c r="O128" s="1338"/>
      <c r="P128" s="1282">
        <f t="shared" si="22"/>
        <v>0</v>
      </c>
      <c r="Q128" s="1338"/>
      <c r="R128" s="1282">
        <f t="shared" si="23"/>
        <v>0</v>
      </c>
      <c r="S128" s="1338"/>
      <c r="T128" s="1283">
        <f t="shared" si="24"/>
        <v>0</v>
      </c>
      <c r="U128" s="1284">
        <f t="shared" si="8"/>
        <v>0</v>
      </c>
      <c r="V128" s="1285">
        <f t="shared" si="9"/>
        <v>0</v>
      </c>
    </row>
    <row r="129" spans="2:22" outlineLevel="1">
      <c r="B129" s="1278" t="s">
        <v>1535</v>
      </c>
      <c r="C129" s="1279" t="s">
        <v>792</v>
      </c>
      <c r="D129" s="1286" t="s">
        <v>793</v>
      </c>
      <c r="E129" s="1291" t="s">
        <v>801</v>
      </c>
      <c r="F129" s="1281">
        <v>3888.8999999999996</v>
      </c>
      <c r="G129" s="1338"/>
      <c r="H129" s="1282">
        <f t="shared" si="18"/>
        <v>0</v>
      </c>
      <c r="I129" s="1338"/>
      <c r="J129" s="1282">
        <f t="shared" si="19"/>
        <v>0</v>
      </c>
      <c r="K129" s="1338"/>
      <c r="L129" s="1282">
        <f t="shared" si="20"/>
        <v>0</v>
      </c>
      <c r="M129" s="1338"/>
      <c r="N129" s="1282">
        <f t="shared" si="21"/>
        <v>0</v>
      </c>
      <c r="O129" s="1338"/>
      <c r="P129" s="1282">
        <f t="shared" si="22"/>
        <v>0</v>
      </c>
      <c r="Q129" s="1338"/>
      <c r="R129" s="1282">
        <f t="shared" si="23"/>
        <v>0</v>
      </c>
      <c r="S129" s="1338"/>
      <c r="T129" s="1283">
        <f t="shared" si="24"/>
        <v>0</v>
      </c>
      <c r="U129" s="1284">
        <f t="shared" si="8"/>
        <v>0</v>
      </c>
      <c r="V129" s="1285">
        <f t="shared" si="9"/>
        <v>0</v>
      </c>
    </row>
    <row r="130" spans="2:22" outlineLevel="1">
      <c r="B130" s="1278" t="s">
        <v>1536</v>
      </c>
      <c r="C130" s="1279" t="s">
        <v>792</v>
      </c>
      <c r="D130" s="1286" t="s">
        <v>793</v>
      </c>
      <c r="E130" s="1291" t="s">
        <v>802</v>
      </c>
      <c r="F130" s="1281">
        <v>4321</v>
      </c>
      <c r="G130" s="1338"/>
      <c r="H130" s="1282">
        <f t="shared" si="18"/>
        <v>0</v>
      </c>
      <c r="I130" s="1338"/>
      <c r="J130" s="1282">
        <f t="shared" si="19"/>
        <v>0</v>
      </c>
      <c r="K130" s="1338"/>
      <c r="L130" s="1282">
        <f t="shared" si="20"/>
        <v>0</v>
      </c>
      <c r="M130" s="1338"/>
      <c r="N130" s="1282">
        <f t="shared" si="21"/>
        <v>0</v>
      </c>
      <c r="O130" s="1338"/>
      <c r="P130" s="1282">
        <f t="shared" si="22"/>
        <v>0</v>
      </c>
      <c r="Q130" s="1338"/>
      <c r="R130" s="1282">
        <f t="shared" si="23"/>
        <v>0</v>
      </c>
      <c r="S130" s="1338"/>
      <c r="T130" s="1283">
        <f t="shared" si="24"/>
        <v>0</v>
      </c>
      <c r="U130" s="1284">
        <f t="shared" si="8"/>
        <v>0</v>
      </c>
      <c r="V130" s="1285">
        <f t="shared" si="9"/>
        <v>0</v>
      </c>
    </row>
    <row r="131" spans="2:22" outlineLevel="1">
      <c r="B131" s="1278" t="s">
        <v>1537</v>
      </c>
      <c r="C131" s="1279" t="s">
        <v>792</v>
      </c>
      <c r="D131" s="1286" t="s">
        <v>793</v>
      </c>
      <c r="E131" s="1291" t="s">
        <v>803</v>
      </c>
      <c r="F131" s="1281">
        <v>4969.1499999999996</v>
      </c>
      <c r="G131" s="1338"/>
      <c r="H131" s="1282">
        <f t="shared" si="18"/>
        <v>0</v>
      </c>
      <c r="I131" s="1338"/>
      <c r="J131" s="1282">
        <f t="shared" si="19"/>
        <v>0</v>
      </c>
      <c r="K131" s="1338"/>
      <c r="L131" s="1282">
        <f t="shared" si="20"/>
        <v>0</v>
      </c>
      <c r="M131" s="1338"/>
      <c r="N131" s="1282">
        <f t="shared" si="21"/>
        <v>0</v>
      </c>
      <c r="O131" s="1338"/>
      <c r="P131" s="1282">
        <f t="shared" si="22"/>
        <v>0</v>
      </c>
      <c r="Q131" s="1338"/>
      <c r="R131" s="1282">
        <f t="shared" si="23"/>
        <v>0</v>
      </c>
      <c r="S131" s="1338"/>
      <c r="T131" s="1283">
        <f t="shared" si="24"/>
        <v>0</v>
      </c>
      <c r="U131" s="1284">
        <f t="shared" si="8"/>
        <v>0</v>
      </c>
      <c r="V131" s="1285">
        <f t="shared" si="9"/>
        <v>0</v>
      </c>
    </row>
    <row r="132" spans="2:22" outlineLevel="1">
      <c r="B132" s="1278" t="s">
        <v>1538</v>
      </c>
      <c r="C132" s="1279" t="s">
        <v>792</v>
      </c>
      <c r="D132" s="1286" t="s">
        <v>793</v>
      </c>
      <c r="E132" s="1291" t="s">
        <v>804</v>
      </c>
      <c r="F132" s="1281">
        <v>5833.3499999999995</v>
      </c>
      <c r="G132" s="1338"/>
      <c r="H132" s="1282">
        <f t="shared" si="18"/>
        <v>0</v>
      </c>
      <c r="I132" s="1338"/>
      <c r="J132" s="1282">
        <f t="shared" si="19"/>
        <v>0</v>
      </c>
      <c r="K132" s="1338"/>
      <c r="L132" s="1282">
        <f t="shared" si="20"/>
        <v>0</v>
      </c>
      <c r="M132" s="1338"/>
      <c r="N132" s="1282">
        <f t="shared" si="21"/>
        <v>0</v>
      </c>
      <c r="O132" s="1338"/>
      <c r="P132" s="1282">
        <f t="shared" si="22"/>
        <v>0</v>
      </c>
      <c r="Q132" s="1338"/>
      <c r="R132" s="1282">
        <f t="shared" si="23"/>
        <v>0</v>
      </c>
      <c r="S132" s="1338"/>
      <c r="T132" s="1283">
        <f t="shared" si="24"/>
        <v>0</v>
      </c>
      <c r="U132" s="1284">
        <f t="shared" si="8"/>
        <v>0</v>
      </c>
      <c r="V132" s="1285">
        <f t="shared" si="9"/>
        <v>0</v>
      </c>
    </row>
    <row r="133" spans="2:22" outlineLevel="1">
      <c r="B133" s="1278" t="s">
        <v>1539</v>
      </c>
      <c r="C133" s="1279" t="s">
        <v>792</v>
      </c>
      <c r="D133" s="1286" t="s">
        <v>793</v>
      </c>
      <c r="E133" s="1291" t="s">
        <v>805</v>
      </c>
      <c r="F133" s="1281">
        <v>6697.5499999999993</v>
      </c>
      <c r="G133" s="1338"/>
      <c r="H133" s="1282">
        <f t="shared" si="18"/>
        <v>0</v>
      </c>
      <c r="I133" s="1338"/>
      <c r="J133" s="1282">
        <f t="shared" si="19"/>
        <v>0</v>
      </c>
      <c r="K133" s="1338"/>
      <c r="L133" s="1282">
        <f t="shared" si="20"/>
        <v>0</v>
      </c>
      <c r="M133" s="1338"/>
      <c r="N133" s="1282">
        <f t="shared" si="21"/>
        <v>0</v>
      </c>
      <c r="O133" s="1338"/>
      <c r="P133" s="1282">
        <f t="shared" si="22"/>
        <v>0</v>
      </c>
      <c r="Q133" s="1338"/>
      <c r="R133" s="1282">
        <f t="shared" si="23"/>
        <v>0</v>
      </c>
      <c r="S133" s="1338"/>
      <c r="T133" s="1283">
        <f t="shared" si="24"/>
        <v>0</v>
      </c>
      <c r="U133" s="1284">
        <f t="shared" si="8"/>
        <v>0</v>
      </c>
      <c r="V133" s="1285">
        <f t="shared" si="9"/>
        <v>0</v>
      </c>
    </row>
    <row r="134" spans="2:22" outlineLevel="1">
      <c r="B134" s="1278" t="s">
        <v>1540</v>
      </c>
      <c r="C134" s="1279" t="s">
        <v>792</v>
      </c>
      <c r="D134" s="1286" t="s">
        <v>793</v>
      </c>
      <c r="E134" s="1291" t="s">
        <v>806</v>
      </c>
      <c r="F134" s="1281">
        <v>7561.7499999999991</v>
      </c>
      <c r="G134" s="1338"/>
      <c r="H134" s="1282">
        <f t="shared" si="18"/>
        <v>0</v>
      </c>
      <c r="I134" s="1338"/>
      <c r="J134" s="1282">
        <f t="shared" si="19"/>
        <v>0</v>
      </c>
      <c r="K134" s="1338"/>
      <c r="L134" s="1282">
        <f t="shared" si="20"/>
        <v>0</v>
      </c>
      <c r="M134" s="1338"/>
      <c r="N134" s="1282">
        <f t="shared" si="21"/>
        <v>0</v>
      </c>
      <c r="O134" s="1338"/>
      <c r="P134" s="1282">
        <f t="shared" si="22"/>
        <v>0</v>
      </c>
      <c r="Q134" s="1338"/>
      <c r="R134" s="1282">
        <f t="shared" si="23"/>
        <v>0</v>
      </c>
      <c r="S134" s="1338"/>
      <c r="T134" s="1283">
        <f t="shared" si="24"/>
        <v>0</v>
      </c>
      <c r="U134" s="1284">
        <f t="shared" si="8"/>
        <v>0</v>
      </c>
      <c r="V134" s="1285">
        <f t="shared" si="9"/>
        <v>0</v>
      </c>
    </row>
    <row r="135" spans="2:22" ht="12.75" customHeight="1" outlineLevel="1">
      <c r="B135" s="1278" t="s">
        <v>1541</v>
      </c>
      <c r="C135" s="1279" t="s">
        <v>792</v>
      </c>
      <c r="D135" s="1286" t="s">
        <v>793</v>
      </c>
      <c r="E135" s="1291" t="s">
        <v>807</v>
      </c>
      <c r="F135" s="1281">
        <v>8425.9499999999989</v>
      </c>
      <c r="G135" s="1338"/>
      <c r="H135" s="1282">
        <f t="shared" ref="H135" si="25">F135*G135</f>
        <v>0</v>
      </c>
      <c r="I135" s="1338"/>
      <c r="J135" s="1282">
        <f t="shared" ref="J135" si="26">F135*I135</f>
        <v>0</v>
      </c>
      <c r="K135" s="1338"/>
      <c r="L135" s="1282">
        <f t="shared" ref="L135" si="27">F135*K135</f>
        <v>0</v>
      </c>
      <c r="M135" s="1338"/>
      <c r="N135" s="1282">
        <f t="shared" ref="N135" si="28">F135*M135</f>
        <v>0</v>
      </c>
      <c r="O135" s="1338"/>
      <c r="P135" s="1282">
        <f t="shared" ref="P135" si="29">F135*O135</f>
        <v>0</v>
      </c>
      <c r="Q135" s="1338"/>
      <c r="R135" s="1282">
        <f t="shared" ref="R135" si="30">F135*Q135</f>
        <v>0</v>
      </c>
      <c r="S135" s="1338"/>
      <c r="T135" s="1283">
        <f t="shared" ref="T135" si="31">F135*S135</f>
        <v>0</v>
      </c>
      <c r="U135" s="1284">
        <f t="shared" ref="U135" si="32">G135+I135+K135+M135+O135+Q135+S135</f>
        <v>0</v>
      </c>
      <c r="V135" s="1285">
        <f t="shared" ref="V135" si="33">U135*F135</f>
        <v>0</v>
      </c>
    </row>
    <row r="136" spans="2:22" outlineLevel="1">
      <c r="B136" s="1278" t="s">
        <v>1542</v>
      </c>
      <c r="C136" s="1279" t="s">
        <v>792</v>
      </c>
      <c r="D136" s="1286" t="s">
        <v>793</v>
      </c>
      <c r="E136" s="1291" t="s">
        <v>808</v>
      </c>
      <c r="F136" s="1281">
        <v>9722.25</v>
      </c>
      <c r="G136" s="1338"/>
      <c r="H136" s="1282">
        <f t="shared" si="18"/>
        <v>0</v>
      </c>
      <c r="I136" s="1338"/>
      <c r="J136" s="1282">
        <f t="shared" si="19"/>
        <v>0</v>
      </c>
      <c r="K136" s="1338"/>
      <c r="L136" s="1282">
        <f t="shared" si="20"/>
        <v>0</v>
      </c>
      <c r="M136" s="1338"/>
      <c r="N136" s="1282">
        <f t="shared" si="21"/>
        <v>0</v>
      </c>
      <c r="O136" s="1338"/>
      <c r="P136" s="1282">
        <f t="shared" si="22"/>
        <v>0</v>
      </c>
      <c r="Q136" s="1338"/>
      <c r="R136" s="1282">
        <f t="shared" si="23"/>
        <v>0</v>
      </c>
      <c r="S136" s="1338"/>
      <c r="T136" s="1283">
        <f t="shared" si="24"/>
        <v>0</v>
      </c>
      <c r="U136" s="1284">
        <f t="shared" si="8"/>
        <v>0</v>
      </c>
      <c r="V136" s="1285">
        <f t="shared" si="9"/>
        <v>0</v>
      </c>
    </row>
    <row r="137" spans="2:22" outlineLevel="1">
      <c r="B137" s="1278" t="s">
        <v>1543</v>
      </c>
      <c r="C137" s="1279" t="s">
        <v>792</v>
      </c>
      <c r="D137" s="1286" t="s">
        <v>793</v>
      </c>
      <c r="E137" s="1291" t="s">
        <v>809</v>
      </c>
      <c r="F137" s="1281">
        <v>11450.65</v>
      </c>
      <c r="G137" s="1338"/>
      <c r="H137" s="1282">
        <f t="shared" si="18"/>
        <v>0</v>
      </c>
      <c r="I137" s="1338"/>
      <c r="J137" s="1282">
        <f t="shared" si="19"/>
        <v>0</v>
      </c>
      <c r="K137" s="1338"/>
      <c r="L137" s="1282">
        <f t="shared" si="20"/>
        <v>0</v>
      </c>
      <c r="M137" s="1338"/>
      <c r="N137" s="1282">
        <f t="shared" si="21"/>
        <v>0</v>
      </c>
      <c r="O137" s="1338"/>
      <c r="P137" s="1282">
        <f t="shared" si="22"/>
        <v>0</v>
      </c>
      <c r="Q137" s="1338"/>
      <c r="R137" s="1282">
        <f t="shared" si="23"/>
        <v>0</v>
      </c>
      <c r="S137" s="1338"/>
      <c r="T137" s="1283">
        <f t="shared" si="24"/>
        <v>0</v>
      </c>
      <c r="U137" s="1284">
        <f t="shared" si="8"/>
        <v>0</v>
      </c>
      <c r="V137" s="1285">
        <f t="shared" si="9"/>
        <v>0</v>
      </c>
    </row>
    <row r="138" spans="2:22" outlineLevel="1">
      <c r="B138" s="1278" t="s">
        <v>1544</v>
      </c>
      <c r="C138" s="1279" t="s">
        <v>792</v>
      </c>
      <c r="D138" s="1286" t="s">
        <v>793</v>
      </c>
      <c r="E138" s="1291" t="s">
        <v>810</v>
      </c>
      <c r="F138" s="1281">
        <v>13179.05</v>
      </c>
      <c r="G138" s="1338"/>
      <c r="H138" s="1282">
        <f t="shared" si="18"/>
        <v>0</v>
      </c>
      <c r="I138" s="1338"/>
      <c r="J138" s="1282">
        <f t="shared" si="19"/>
        <v>0</v>
      </c>
      <c r="K138" s="1338"/>
      <c r="L138" s="1282">
        <f t="shared" si="20"/>
        <v>0</v>
      </c>
      <c r="M138" s="1338"/>
      <c r="N138" s="1282">
        <f t="shared" si="21"/>
        <v>0</v>
      </c>
      <c r="O138" s="1338"/>
      <c r="P138" s="1282">
        <f t="shared" si="22"/>
        <v>0</v>
      </c>
      <c r="Q138" s="1338"/>
      <c r="R138" s="1282">
        <f t="shared" si="23"/>
        <v>0</v>
      </c>
      <c r="S138" s="1338"/>
      <c r="T138" s="1283">
        <f t="shared" si="24"/>
        <v>0</v>
      </c>
      <c r="U138" s="1284">
        <f t="shared" si="8"/>
        <v>0</v>
      </c>
      <c r="V138" s="1285">
        <f t="shared" si="9"/>
        <v>0</v>
      </c>
    </row>
    <row r="139" spans="2:22" outlineLevel="1">
      <c r="B139" s="1278" t="s">
        <v>1545</v>
      </c>
      <c r="C139" s="1279" t="s">
        <v>792</v>
      </c>
      <c r="D139" s="1286" t="s">
        <v>793</v>
      </c>
      <c r="E139" s="1291" t="s">
        <v>811</v>
      </c>
      <c r="F139" s="1281">
        <v>14907.449999999999</v>
      </c>
      <c r="G139" s="1338"/>
      <c r="H139" s="1282">
        <f t="shared" si="18"/>
        <v>0</v>
      </c>
      <c r="I139" s="1338"/>
      <c r="J139" s="1282">
        <f t="shared" si="19"/>
        <v>0</v>
      </c>
      <c r="K139" s="1338"/>
      <c r="L139" s="1282">
        <f t="shared" si="20"/>
        <v>0</v>
      </c>
      <c r="M139" s="1338"/>
      <c r="N139" s="1282">
        <f t="shared" si="21"/>
        <v>0</v>
      </c>
      <c r="O139" s="1338"/>
      <c r="P139" s="1282">
        <f t="shared" si="22"/>
        <v>0</v>
      </c>
      <c r="Q139" s="1338"/>
      <c r="R139" s="1282">
        <f t="shared" si="23"/>
        <v>0</v>
      </c>
      <c r="S139" s="1338"/>
      <c r="T139" s="1283">
        <f t="shared" si="24"/>
        <v>0</v>
      </c>
      <c r="U139" s="1284">
        <f t="shared" si="8"/>
        <v>0</v>
      </c>
      <c r="V139" s="1285">
        <f t="shared" si="9"/>
        <v>0</v>
      </c>
    </row>
    <row r="140" spans="2:22" outlineLevel="1">
      <c r="B140" s="1278" t="s">
        <v>1546</v>
      </c>
      <c r="C140" s="1279" t="s">
        <v>792</v>
      </c>
      <c r="D140" s="1286" t="s">
        <v>793</v>
      </c>
      <c r="E140" s="1291" t="s">
        <v>812</v>
      </c>
      <c r="F140" s="1281">
        <v>16635.849999999999</v>
      </c>
      <c r="G140" s="1338"/>
      <c r="H140" s="1282">
        <f t="shared" si="18"/>
        <v>0</v>
      </c>
      <c r="I140" s="1338"/>
      <c r="J140" s="1282">
        <f t="shared" si="19"/>
        <v>0</v>
      </c>
      <c r="K140" s="1338"/>
      <c r="L140" s="1282">
        <f t="shared" si="20"/>
        <v>0</v>
      </c>
      <c r="M140" s="1338"/>
      <c r="N140" s="1282">
        <f t="shared" si="21"/>
        <v>0</v>
      </c>
      <c r="O140" s="1338"/>
      <c r="P140" s="1282">
        <f t="shared" si="22"/>
        <v>0</v>
      </c>
      <c r="Q140" s="1338"/>
      <c r="R140" s="1282">
        <f t="shared" si="23"/>
        <v>0</v>
      </c>
      <c r="S140" s="1338"/>
      <c r="T140" s="1283">
        <f t="shared" si="24"/>
        <v>0</v>
      </c>
      <c r="U140" s="1284">
        <f t="shared" si="8"/>
        <v>0</v>
      </c>
      <c r="V140" s="1285">
        <f t="shared" si="9"/>
        <v>0</v>
      </c>
    </row>
    <row r="141" spans="2:22" ht="12.75" customHeight="1">
      <c r="B141" s="1292" t="s">
        <v>2006</v>
      </c>
      <c r="C141" s="1293" t="s">
        <v>813</v>
      </c>
      <c r="D141" s="1293"/>
      <c r="E141" s="1294"/>
      <c r="F141" s="1295"/>
      <c r="G141" s="1339"/>
      <c r="H141" s="1296"/>
      <c r="I141" s="1339"/>
      <c r="J141" s="1296"/>
      <c r="K141" s="1339"/>
      <c r="L141" s="1296"/>
      <c r="M141" s="1339"/>
      <c r="N141" s="1296"/>
      <c r="O141" s="1339"/>
      <c r="P141" s="1296"/>
      <c r="Q141" s="1339"/>
      <c r="R141" s="1296"/>
      <c r="S141" s="1339"/>
      <c r="T141" s="1296"/>
      <c r="U141" s="1297"/>
      <c r="V141" s="1298"/>
    </row>
    <row r="142" spans="2:22" outlineLevel="1">
      <c r="B142" s="1278" t="s">
        <v>1547</v>
      </c>
      <c r="C142" s="1299" t="s">
        <v>813</v>
      </c>
      <c r="D142" s="1286" t="s">
        <v>814</v>
      </c>
      <c r="E142" s="1251" t="s">
        <v>815</v>
      </c>
      <c r="F142" s="1281">
        <v>808</v>
      </c>
      <c r="G142" s="1338"/>
      <c r="H142" s="1282">
        <f t="shared" ref="H142:H190" si="34">F142*G142</f>
        <v>0</v>
      </c>
      <c r="I142" s="1338"/>
      <c r="J142" s="1282">
        <f t="shared" ref="J142:J191" si="35">F142*I142</f>
        <v>0</v>
      </c>
      <c r="K142" s="1338"/>
      <c r="L142" s="1282">
        <f t="shared" ref="L142:L191" si="36">F142*K142</f>
        <v>0</v>
      </c>
      <c r="M142" s="1338"/>
      <c r="N142" s="1282">
        <f t="shared" ref="N142:N191" si="37">F142*M142</f>
        <v>0</v>
      </c>
      <c r="O142" s="1338"/>
      <c r="P142" s="1282">
        <f t="shared" ref="P142:P191" si="38">F142*O142</f>
        <v>0</v>
      </c>
      <c r="Q142" s="1338"/>
      <c r="R142" s="1282">
        <f t="shared" ref="R142:R191" si="39">F142*Q142</f>
        <v>0</v>
      </c>
      <c r="S142" s="1338"/>
      <c r="T142" s="1283">
        <f t="shared" ref="T142:T191" si="40">F142*S142</f>
        <v>0</v>
      </c>
      <c r="U142" s="1284">
        <f t="shared" ref="U142:U164" si="41">G142+I142+K142+M142+O142+Q142+S142</f>
        <v>0</v>
      </c>
      <c r="V142" s="1285">
        <f t="shared" ref="V142:V164" si="42">U142*F142</f>
        <v>0</v>
      </c>
    </row>
    <row r="143" spans="2:22" outlineLevel="1">
      <c r="B143" s="1278" t="s">
        <v>1548</v>
      </c>
      <c r="C143" s="1299" t="s">
        <v>813</v>
      </c>
      <c r="D143" s="1286" t="s">
        <v>814</v>
      </c>
      <c r="E143" s="1251" t="s">
        <v>816</v>
      </c>
      <c r="F143" s="1281">
        <v>1131.2</v>
      </c>
      <c r="G143" s="1338"/>
      <c r="H143" s="1282">
        <f t="shared" si="34"/>
        <v>0</v>
      </c>
      <c r="I143" s="1338"/>
      <c r="J143" s="1282">
        <f t="shared" si="35"/>
        <v>0</v>
      </c>
      <c r="K143" s="1338"/>
      <c r="L143" s="1282">
        <f t="shared" si="36"/>
        <v>0</v>
      </c>
      <c r="M143" s="1338"/>
      <c r="N143" s="1282">
        <f t="shared" si="37"/>
        <v>0</v>
      </c>
      <c r="O143" s="1338"/>
      <c r="P143" s="1282">
        <f t="shared" si="38"/>
        <v>0</v>
      </c>
      <c r="Q143" s="1338"/>
      <c r="R143" s="1282">
        <f t="shared" si="39"/>
        <v>0</v>
      </c>
      <c r="S143" s="1338"/>
      <c r="T143" s="1283">
        <f t="shared" si="40"/>
        <v>0</v>
      </c>
      <c r="U143" s="1284">
        <f t="shared" si="41"/>
        <v>0</v>
      </c>
      <c r="V143" s="1285">
        <f t="shared" si="42"/>
        <v>0</v>
      </c>
    </row>
    <row r="144" spans="2:22" outlineLevel="1">
      <c r="B144" s="1278" t="s">
        <v>1549</v>
      </c>
      <c r="C144" s="1299" t="s">
        <v>813</v>
      </c>
      <c r="D144" s="1286" t="s">
        <v>814</v>
      </c>
      <c r="E144" s="1251" t="s">
        <v>817</v>
      </c>
      <c r="F144" s="1281">
        <v>1454.4</v>
      </c>
      <c r="G144" s="1338"/>
      <c r="H144" s="1282">
        <f t="shared" si="34"/>
        <v>0</v>
      </c>
      <c r="I144" s="1338"/>
      <c r="J144" s="1282">
        <f t="shared" si="35"/>
        <v>0</v>
      </c>
      <c r="K144" s="1338"/>
      <c r="L144" s="1282">
        <f t="shared" si="36"/>
        <v>0</v>
      </c>
      <c r="M144" s="1338"/>
      <c r="N144" s="1282">
        <f t="shared" si="37"/>
        <v>0</v>
      </c>
      <c r="O144" s="1338"/>
      <c r="P144" s="1282">
        <f t="shared" si="38"/>
        <v>0</v>
      </c>
      <c r="Q144" s="1338"/>
      <c r="R144" s="1282">
        <f t="shared" si="39"/>
        <v>0</v>
      </c>
      <c r="S144" s="1338"/>
      <c r="T144" s="1283">
        <f t="shared" si="40"/>
        <v>0</v>
      </c>
      <c r="U144" s="1284">
        <f t="shared" si="41"/>
        <v>0</v>
      </c>
      <c r="V144" s="1285">
        <f t="shared" si="42"/>
        <v>0</v>
      </c>
    </row>
    <row r="145" spans="2:22" outlineLevel="1">
      <c r="B145" s="1278" t="s">
        <v>1550</v>
      </c>
      <c r="C145" s="1299" t="s">
        <v>813</v>
      </c>
      <c r="D145" s="1286" t="s">
        <v>814</v>
      </c>
      <c r="E145" s="1251" t="s">
        <v>818</v>
      </c>
      <c r="F145" s="1281">
        <v>1777.6000000000001</v>
      </c>
      <c r="G145" s="1338"/>
      <c r="H145" s="1282">
        <f t="shared" si="34"/>
        <v>0</v>
      </c>
      <c r="I145" s="1338"/>
      <c r="J145" s="1282">
        <f t="shared" si="35"/>
        <v>0</v>
      </c>
      <c r="K145" s="1338"/>
      <c r="L145" s="1282">
        <f t="shared" si="36"/>
        <v>0</v>
      </c>
      <c r="M145" s="1338"/>
      <c r="N145" s="1282">
        <f t="shared" si="37"/>
        <v>0</v>
      </c>
      <c r="O145" s="1338"/>
      <c r="P145" s="1282">
        <f t="shared" si="38"/>
        <v>0</v>
      </c>
      <c r="Q145" s="1338"/>
      <c r="R145" s="1282">
        <f t="shared" si="39"/>
        <v>0</v>
      </c>
      <c r="S145" s="1338"/>
      <c r="T145" s="1283">
        <f t="shared" si="40"/>
        <v>0</v>
      </c>
      <c r="U145" s="1284">
        <f t="shared" si="41"/>
        <v>0</v>
      </c>
      <c r="V145" s="1285">
        <f t="shared" si="42"/>
        <v>0</v>
      </c>
    </row>
    <row r="146" spans="2:22" outlineLevel="1">
      <c r="B146" s="1278" t="s">
        <v>1551</v>
      </c>
      <c r="C146" s="1299" t="s">
        <v>813</v>
      </c>
      <c r="D146" s="1286" t="s">
        <v>814</v>
      </c>
      <c r="E146" s="1251" t="s">
        <v>819</v>
      </c>
      <c r="F146" s="1281">
        <v>2100.8000000000002</v>
      </c>
      <c r="G146" s="1338"/>
      <c r="H146" s="1282">
        <f t="shared" si="34"/>
        <v>0</v>
      </c>
      <c r="I146" s="1338"/>
      <c r="J146" s="1282">
        <f t="shared" si="35"/>
        <v>0</v>
      </c>
      <c r="K146" s="1338"/>
      <c r="L146" s="1282">
        <f t="shared" si="36"/>
        <v>0</v>
      </c>
      <c r="M146" s="1338"/>
      <c r="N146" s="1282">
        <f t="shared" si="37"/>
        <v>0</v>
      </c>
      <c r="O146" s="1338"/>
      <c r="P146" s="1282">
        <f t="shared" si="38"/>
        <v>0</v>
      </c>
      <c r="Q146" s="1338"/>
      <c r="R146" s="1282">
        <f t="shared" si="39"/>
        <v>0</v>
      </c>
      <c r="S146" s="1338"/>
      <c r="T146" s="1283">
        <f t="shared" si="40"/>
        <v>0</v>
      </c>
      <c r="U146" s="1284">
        <f t="shared" si="41"/>
        <v>0</v>
      </c>
      <c r="V146" s="1285">
        <f t="shared" si="42"/>
        <v>0</v>
      </c>
    </row>
    <row r="147" spans="2:22" outlineLevel="1">
      <c r="B147" s="1278" t="s">
        <v>1552</v>
      </c>
      <c r="C147" s="1299" t="s">
        <v>813</v>
      </c>
      <c r="D147" s="1286" t="s">
        <v>814</v>
      </c>
      <c r="E147" s="1251" t="s">
        <v>820</v>
      </c>
      <c r="F147" s="1281">
        <v>2424</v>
      </c>
      <c r="G147" s="1338"/>
      <c r="H147" s="1282">
        <f t="shared" si="34"/>
        <v>0</v>
      </c>
      <c r="I147" s="1338"/>
      <c r="J147" s="1282">
        <f t="shared" si="35"/>
        <v>0</v>
      </c>
      <c r="K147" s="1338"/>
      <c r="L147" s="1282">
        <f t="shared" si="36"/>
        <v>0</v>
      </c>
      <c r="M147" s="1338"/>
      <c r="N147" s="1282">
        <f t="shared" si="37"/>
        <v>0</v>
      </c>
      <c r="O147" s="1338"/>
      <c r="P147" s="1282">
        <f t="shared" si="38"/>
        <v>0</v>
      </c>
      <c r="Q147" s="1338"/>
      <c r="R147" s="1282">
        <f t="shared" si="39"/>
        <v>0</v>
      </c>
      <c r="S147" s="1338"/>
      <c r="T147" s="1283">
        <f t="shared" si="40"/>
        <v>0</v>
      </c>
      <c r="U147" s="1284">
        <f t="shared" si="41"/>
        <v>0</v>
      </c>
      <c r="V147" s="1285">
        <f t="shared" si="42"/>
        <v>0</v>
      </c>
    </row>
    <row r="148" spans="2:22" outlineLevel="1">
      <c r="B148" s="1278" t="s">
        <v>1553</v>
      </c>
      <c r="C148" s="1299" t="s">
        <v>813</v>
      </c>
      <c r="D148" s="1286" t="s">
        <v>814</v>
      </c>
      <c r="E148" s="1251" t="s">
        <v>821</v>
      </c>
      <c r="F148" s="1281">
        <v>2747.2000000000003</v>
      </c>
      <c r="G148" s="1338"/>
      <c r="H148" s="1282">
        <f t="shared" si="34"/>
        <v>0</v>
      </c>
      <c r="I148" s="1338"/>
      <c r="J148" s="1282">
        <f t="shared" si="35"/>
        <v>0</v>
      </c>
      <c r="K148" s="1338"/>
      <c r="L148" s="1282">
        <f t="shared" si="36"/>
        <v>0</v>
      </c>
      <c r="M148" s="1338"/>
      <c r="N148" s="1282">
        <f t="shared" si="37"/>
        <v>0</v>
      </c>
      <c r="O148" s="1338"/>
      <c r="P148" s="1282">
        <f t="shared" si="38"/>
        <v>0</v>
      </c>
      <c r="Q148" s="1338"/>
      <c r="R148" s="1282">
        <f t="shared" si="39"/>
        <v>0</v>
      </c>
      <c r="S148" s="1338"/>
      <c r="T148" s="1283">
        <f t="shared" si="40"/>
        <v>0</v>
      </c>
      <c r="U148" s="1284">
        <f t="shared" si="41"/>
        <v>0</v>
      </c>
      <c r="V148" s="1285">
        <f t="shared" si="42"/>
        <v>0</v>
      </c>
    </row>
    <row r="149" spans="2:22" outlineLevel="1">
      <c r="B149" s="1278" t="s">
        <v>1554</v>
      </c>
      <c r="C149" s="1299" t="s">
        <v>813</v>
      </c>
      <c r="D149" s="1286" t="s">
        <v>814</v>
      </c>
      <c r="E149" s="1251" t="s">
        <v>822</v>
      </c>
      <c r="F149" s="1281">
        <v>3070.4</v>
      </c>
      <c r="G149" s="1338"/>
      <c r="H149" s="1282">
        <f t="shared" si="34"/>
        <v>0</v>
      </c>
      <c r="I149" s="1338"/>
      <c r="J149" s="1282">
        <f t="shared" si="35"/>
        <v>0</v>
      </c>
      <c r="K149" s="1338"/>
      <c r="L149" s="1282">
        <f t="shared" si="36"/>
        <v>0</v>
      </c>
      <c r="M149" s="1338"/>
      <c r="N149" s="1282">
        <f t="shared" si="37"/>
        <v>0</v>
      </c>
      <c r="O149" s="1338"/>
      <c r="P149" s="1282">
        <f t="shared" si="38"/>
        <v>0</v>
      </c>
      <c r="Q149" s="1338"/>
      <c r="R149" s="1282">
        <f t="shared" si="39"/>
        <v>0</v>
      </c>
      <c r="S149" s="1338"/>
      <c r="T149" s="1283">
        <f t="shared" si="40"/>
        <v>0</v>
      </c>
      <c r="U149" s="1284">
        <f t="shared" si="41"/>
        <v>0</v>
      </c>
      <c r="V149" s="1285">
        <f t="shared" si="42"/>
        <v>0</v>
      </c>
    </row>
    <row r="150" spans="2:22" outlineLevel="1">
      <c r="B150" s="1278" t="s">
        <v>1555</v>
      </c>
      <c r="C150" s="1299" t="s">
        <v>813</v>
      </c>
      <c r="D150" s="1286" t="s">
        <v>814</v>
      </c>
      <c r="E150" s="1251" t="s">
        <v>823</v>
      </c>
      <c r="F150" s="1281">
        <v>3555.2000000000003</v>
      </c>
      <c r="G150" s="1338"/>
      <c r="H150" s="1282">
        <f t="shared" si="34"/>
        <v>0</v>
      </c>
      <c r="I150" s="1338"/>
      <c r="J150" s="1282">
        <f t="shared" si="35"/>
        <v>0</v>
      </c>
      <c r="K150" s="1338"/>
      <c r="L150" s="1282">
        <f t="shared" si="36"/>
        <v>0</v>
      </c>
      <c r="M150" s="1338"/>
      <c r="N150" s="1282">
        <f t="shared" si="37"/>
        <v>0</v>
      </c>
      <c r="O150" s="1338"/>
      <c r="P150" s="1282">
        <f t="shared" si="38"/>
        <v>0</v>
      </c>
      <c r="Q150" s="1338"/>
      <c r="R150" s="1282">
        <f t="shared" si="39"/>
        <v>0</v>
      </c>
      <c r="S150" s="1338"/>
      <c r="T150" s="1283">
        <f t="shared" si="40"/>
        <v>0</v>
      </c>
      <c r="U150" s="1284">
        <f t="shared" si="41"/>
        <v>0</v>
      </c>
      <c r="V150" s="1285">
        <f t="shared" si="42"/>
        <v>0</v>
      </c>
    </row>
    <row r="151" spans="2:22" outlineLevel="1">
      <c r="B151" s="1278" t="s">
        <v>1556</v>
      </c>
      <c r="C151" s="1299" t="s">
        <v>813</v>
      </c>
      <c r="D151" s="1286" t="s">
        <v>814</v>
      </c>
      <c r="E151" s="1251" t="s">
        <v>773</v>
      </c>
      <c r="F151" s="1281">
        <v>4201.6000000000004</v>
      </c>
      <c r="G151" s="1338"/>
      <c r="H151" s="1282">
        <f t="shared" si="34"/>
        <v>0</v>
      </c>
      <c r="I151" s="1338"/>
      <c r="J151" s="1282">
        <f t="shared" si="35"/>
        <v>0</v>
      </c>
      <c r="K151" s="1338"/>
      <c r="L151" s="1282">
        <f t="shared" si="36"/>
        <v>0</v>
      </c>
      <c r="M151" s="1338"/>
      <c r="N151" s="1282">
        <f t="shared" si="37"/>
        <v>0</v>
      </c>
      <c r="O151" s="1338"/>
      <c r="P151" s="1282">
        <f t="shared" si="38"/>
        <v>0</v>
      </c>
      <c r="Q151" s="1338"/>
      <c r="R151" s="1282">
        <f t="shared" si="39"/>
        <v>0</v>
      </c>
      <c r="S151" s="1338"/>
      <c r="T151" s="1283">
        <f t="shared" si="40"/>
        <v>0</v>
      </c>
      <c r="U151" s="1284">
        <f t="shared" si="41"/>
        <v>0</v>
      </c>
      <c r="V151" s="1285">
        <f t="shared" si="42"/>
        <v>0</v>
      </c>
    </row>
    <row r="152" spans="2:22" outlineLevel="1">
      <c r="B152" s="1278" t="s">
        <v>1557</v>
      </c>
      <c r="C152" s="1299" t="s">
        <v>813</v>
      </c>
      <c r="D152" s="1286" t="s">
        <v>814</v>
      </c>
      <c r="E152" s="1251" t="s">
        <v>774</v>
      </c>
      <c r="F152" s="1281">
        <v>4848</v>
      </c>
      <c r="G152" s="1338"/>
      <c r="H152" s="1282">
        <f t="shared" si="34"/>
        <v>0</v>
      </c>
      <c r="I152" s="1338"/>
      <c r="J152" s="1282">
        <f t="shared" si="35"/>
        <v>0</v>
      </c>
      <c r="K152" s="1338"/>
      <c r="L152" s="1282">
        <f t="shared" si="36"/>
        <v>0</v>
      </c>
      <c r="M152" s="1338"/>
      <c r="N152" s="1282">
        <f t="shared" si="37"/>
        <v>0</v>
      </c>
      <c r="O152" s="1338"/>
      <c r="P152" s="1282">
        <f t="shared" si="38"/>
        <v>0</v>
      </c>
      <c r="Q152" s="1338"/>
      <c r="R152" s="1282">
        <f t="shared" si="39"/>
        <v>0</v>
      </c>
      <c r="S152" s="1338"/>
      <c r="T152" s="1283">
        <f t="shared" si="40"/>
        <v>0</v>
      </c>
      <c r="U152" s="1284">
        <f t="shared" si="41"/>
        <v>0</v>
      </c>
      <c r="V152" s="1285">
        <f t="shared" si="42"/>
        <v>0</v>
      </c>
    </row>
    <row r="153" spans="2:22" outlineLevel="1">
      <c r="B153" s="1278" t="s">
        <v>1558</v>
      </c>
      <c r="C153" s="1299" t="s">
        <v>813</v>
      </c>
      <c r="D153" s="1286" t="s">
        <v>814</v>
      </c>
      <c r="E153" s="1251" t="s">
        <v>775</v>
      </c>
      <c r="F153" s="1281">
        <v>5494.4000000000005</v>
      </c>
      <c r="G153" s="1338"/>
      <c r="H153" s="1282">
        <f t="shared" si="34"/>
        <v>0</v>
      </c>
      <c r="I153" s="1338"/>
      <c r="J153" s="1282">
        <f t="shared" si="35"/>
        <v>0</v>
      </c>
      <c r="K153" s="1338"/>
      <c r="L153" s="1282">
        <f t="shared" si="36"/>
        <v>0</v>
      </c>
      <c r="M153" s="1338"/>
      <c r="N153" s="1282">
        <f t="shared" si="37"/>
        <v>0</v>
      </c>
      <c r="O153" s="1338"/>
      <c r="P153" s="1282">
        <f t="shared" si="38"/>
        <v>0</v>
      </c>
      <c r="Q153" s="1338"/>
      <c r="R153" s="1282">
        <f t="shared" si="39"/>
        <v>0</v>
      </c>
      <c r="S153" s="1338"/>
      <c r="T153" s="1283">
        <f t="shared" si="40"/>
        <v>0</v>
      </c>
      <c r="U153" s="1284">
        <f t="shared" si="41"/>
        <v>0</v>
      </c>
      <c r="V153" s="1285">
        <f t="shared" si="42"/>
        <v>0</v>
      </c>
    </row>
    <row r="154" spans="2:22" outlineLevel="1">
      <c r="B154" s="1278" t="s">
        <v>1559</v>
      </c>
      <c r="C154" s="1299" t="s">
        <v>813</v>
      </c>
      <c r="D154" s="1286" t="s">
        <v>814</v>
      </c>
      <c r="E154" s="1251" t="s">
        <v>776</v>
      </c>
      <c r="F154" s="1281">
        <v>6140.8</v>
      </c>
      <c r="G154" s="1338"/>
      <c r="H154" s="1282">
        <f t="shared" si="34"/>
        <v>0</v>
      </c>
      <c r="I154" s="1338"/>
      <c r="J154" s="1282">
        <f t="shared" si="35"/>
        <v>0</v>
      </c>
      <c r="K154" s="1338"/>
      <c r="L154" s="1282">
        <f t="shared" si="36"/>
        <v>0</v>
      </c>
      <c r="M154" s="1338"/>
      <c r="N154" s="1282">
        <f t="shared" si="37"/>
        <v>0</v>
      </c>
      <c r="O154" s="1338"/>
      <c r="P154" s="1282">
        <f t="shared" si="38"/>
        <v>0</v>
      </c>
      <c r="Q154" s="1338"/>
      <c r="R154" s="1282">
        <f t="shared" si="39"/>
        <v>0</v>
      </c>
      <c r="S154" s="1338"/>
      <c r="T154" s="1283">
        <f t="shared" si="40"/>
        <v>0</v>
      </c>
      <c r="U154" s="1284">
        <f t="shared" si="41"/>
        <v>0</v>
      </c>
      <c r="V154" s="1285">
        <f t="shared" si="42"/>
        <v>0</v>
      </c>
    </row>
    <row r="155" spans="2:22" outlineLevel="1">
      <c r="B155" s="1278" t="s">
        <v>1560</v>
      </c>
      <c r="C155" s="1299" t="s">
        <v>813</v>
      </c>
      <c r="D155" s="1286" t="s">
        <v>814</v>
      </c>
      <c r="E155" s="1251" t="s">
        <v>824</v>
      </c>
      <c r="F155" s="1281">
        <v>7110.4000000000005</v>
      </c>
      <c r="G155" s="1338"/>
      <c r="H155" s="1282">
        <f t="shared" si="34"/>
        <v>0</v>
      </c>
      <c r="I155" s="1338"/>
      <c r="J155" s="1282">
        <f t="shared" si="35"/>
        <v>0</v>
      </c>
      <c r="K155" s="1338"/>
      <c r="L155" s="1282">
        <f t="shared" si="36"/>
        <v>0</v>
      </c>
      <c r="M155" s="1338"/>
      <c r="N155" s="1282">
        <f t="shared" si="37"/>
        <v>0</v>
      </c>
      <c r="O155" s="1338"/>
      <c r="P155" s="1282">
        <f t="shared" si="38"/>
        <v>0</v>
      </c>
      <c r="Q155" s="1338"/>
      <c r="R155" s="1282">
        <f t="shared" si="39"/>
        <v>0</v>
      </c>
      <c r="S155" s="1338"/>
      <c r="T155" s="1283">
        <f t="shared" si="40"/>
        <v>0</v>
      </c>
      <c r="U155" s="1284">
        <f t="shared" si="41"/>
        <v>0</v>
      </c>
      <c r="V155" s="1285">
        <f t="shared" si="42"/>
        <v>0</v>
      </c>
    </row>
    <row r="156" spans="2:22" outlineLevel="1">
      <c r="B156" s="1278" t="s">
        <v>1561</v>
      </c>
      <c r="C156" s="1299" t="s">
        <v>813</v>
      </c>
      <c r="D156" s="1286" t="s">
        <v>814</v>
      </c>
      <c r="E156" s="1251" t="s">
        <v>779</v>
      </c>
      <c r="F156" s="1281">
        <v>8403.2000000000007</v>
      </c>
      <c r="G156" s="1338"/>
      <c r="H156" s="1282">
        <f t="shared" si="34"/>
        <v>0</v>
      </c>
      <c r="I156" s="1338"/>
      <c r="J156" s="1282">
        <f t="shared" si="35"/>
        <v>0</v>
      </c>
      <c r="K156" s="1338"/>
      <c r="L156" s="1282">
        <f t="shared" si="36"/>
        <v>0</v>
      </c>
      <c r="M156" s="1338"/>
      <c r="N156" s="1282">
        <f t="shared" si="37"/>
        <v>0</v>
      </c>
      <c r="O156" s="1338"/>
      <c r="P156" s="1282">
        <f t="shared" si="38"/>
        <v>0</v>
      </c>
      <c r="Q156" s="1338"/>
      <c r="R156" s="1282">
        <f t="shared" si="39"/>
        <v>0</v>
      </c>
      <c r="S156" s="1338"/>
      <c r="T156" s="1283">
        <f t="shared" si="40"/>
        <v>0</v>
      </c>
      <c r="U156" s="1284">
        <f t="shared" si="41"/>
        <v>0</v>
      </c>
      <c r="V156" s="1285">
        <f t="shared" si="42"/>
        <v>0</v>
      </c>
    </row>
    <row r="157" spans="2:22" outlineLevel="1">
      <c r="B157" s="1278" t="s">
        <v>1562</v>
      </c>
      <c r="C157" s="1300" t="s">
        <v>813</v>
      </c>
      <c r="D157" s="1286" t="s">
        <v>814</v>
      </c>
      <c r="E157" s="1301" t="s">
        <v>825</v>
      </c>
      <c r="F157" s="1281">
        <v>9696</v>
      </c>
      <c r="G157" s="1338"/>
      <c r="H157" s="1282">
        <f t="shared" si="34"/>
        <v>0</v>
      </c>
      <c r="I157" s="1338"/>
      <c r="J157" s="1282">
        <f t="shared" si="35"/>
        <v>0</v>
      </c>
      <c r="K157" s="1338"/>
      <c r="L157" s="1282">
        <f t="shared" si="36"/>
        <v>0</v>
      </c>
      <c r="M157" s="1338"/>
      <c r="N157" s="1282">
        <f>F157*M157</f>
        <v>0</v>
      </c>
      <c r="O157" s="1338"/>
      <c r="P157" s="1282">
        <f t="shared" si="38"/>
        <v>0</v>
      </c>
      <c r="Q157" s="1338"/>
      <c r="R157" s="1282">
        <f t="shared" si="39"/>
        <v>0</v>
      </c>
      <c r="S157" s="1338"/>
      <c r="T157" s="1283">
        <f>F157*S157</f>
        <v>0</v>
      </c>
      <c r="U157" s="1284">
        <f t="shared" si="41"/>
        <v>0</v>
      </c>
      <c r="V157" s="1285">
        <f t="shared" si="42"/>
        <v>0</v>
      </c>
    </row>
    <row r="158" spans="2:22" ht="12.75" customHeight="1">
      <c r="B158" s="1270" t="s">
        <v>2007</v>
      </c>
      <c r="C158" s="1271" t="s">
        <v>826</v>
      </c>
      <c r="D158" s="1272"/>
      <c r="E158" s="1272"/>
      <c r="F158" s="1302"/>
      <c r="G158" s="1339"/>
      <c r="H158" s="1296"/>
      <c r="I158" s="1339"/>
      <c r="J158" s="1296"/>
      <c r="K158" s="1339"/>
      <c r="L158" s="1296"/>
      <c r="M158" s="1339"/>
      <c r="N158" s="1296"/>
      <c r="O158" s="1339"/>
      <c r="P158" s="1296"/>
      <c r="Q158" s="1339"/>
      <c r="R158" s="1296"/>
      <c r="S158" s="1339"/>
      <c r="T158" s="1296"/>
      <c r="U158" s="1297"/>
      <c r="V158" s="1298"/>
    </row>
    <row r="159" spans="2:22" outlineLevel="1">
      <c r="B159" s="1278" t="s">
        <v>1563</v>
      </c>
      <c r="C159" s="1279" t="s">
        <v>826</v>
      </c>
      <c r="D159" s="1286" t="s">
        <v>827</v>
      </c>
      <c r="E159" s="1303" t="s">
        <v>795</v>
      </c>
      <c r="F159" s="1281">
        <v>861.59999999999991</v>
      </c>
      <c r="G159" s="1338"/>
      <c r="H159" s="1282">
        <f t="shared" si="34"/>
        <v>0</v>
      </c>
      <c r="I159" s="1338"/>
      <c r="J159" s="1282">
        <f t="shared" si="35"/>
        <v>0</v>
      </c>
      <c r="K159" s="1338"/>
      <c r="L159" s="1282">
        <f t="shared" si="36"/>
        <v>0</v>
      </c>
      <c r="M159" s="1338"/>
      <c r="N159" s="1282">
        <f t="shared" si="37"/>
        <v>0</v>
      </c>
      <c r="O159" s="1338"/>
      <c r="P159" s="1282">
        <f t="shared" si="38"/>
        <v>0</v>
      </c>
      <c r="Q159" s="1338"/>
      <c r="R159" s="1282">
        <f t="shared" si="39"/>
        <v>0</v>
      </c>
      <c r="S159" s="1338"/>
      <c r="T159" s="1283">
        <f t="shared" si="40"/>
        <v>0</v>
      </c>
      <c r="U159" s="1284">
        <f t="shared" si="41"/>
        <v>0</v>
      </c>
      <c r="V159" s="1285">
        <f t="shared" si="42"/>
        <v>0</v>
      </c>
    </row>
    <row r="160" spans="2:22" outlineLevel="1">
      <c r="B160" s="1278" t="s">
        <v>1564</v>
      </c>
      <c r="C160" s="1279" t="s">
        <v>826</v>
      </c>
      <c r="D160" s="1286" t="s">
        <v>827</v>
      </c>
      <c r="E160" s="1287" t="s">
        <v>796</v>
      </c>
      <c r="F160" s="1281">
        <v>1148.8</v>
      </c>
      <c r="G160" s="1338"/>
      <c r="H160" s="1282">
        <f t="shared" si="34"/>
        <v>0</v>
      </c>
      <c r="I160" s="1338"/>
      <c r="J160" s="1282">
        <f t="shared" si="35"/>
        <v>0</v>
      </c>
      <c r="K160" s="1338"/>
      <c r="L160" s="1282">
        <f t="shared" si="36"/>
        <v>0</v>
      </c>
      <c r="M160" s="1338"/>
      <c r="N160" s="1282">
        <f t="shared" si="37"/>
        <v>0</v>
      </c>
      <c r="O160" s="1338"/>
      <c r="P160" s="1282">
        <f t="shared" si="38"/>
        <v>0</v>
      </c>
      <c r="Q160" s="1338"/>
      <c r="R160" s="1282">
        <f t="shared" si="39"/>
        <v>0</v>
      </c>
      <c r="S160" s="1338"/>
      <c r="T160" s="1283">
        <f t="shared" si="40"/>
        <v>0</v>
      </c>
      <c r="U160" s="1284">
        <f t="shared" si="41"/>
        <v>0</v>
      </c>
      <c r="V160" s="1285">
        <f t="shared" si="42"/>
        <v>0</v>
      </c>
    </row>
    <row r="161" spans="2:22" outlineLevel="1">
      <c r="B161" s="1278" t="s">
        <v>1565</v>
      </c>
      <c r="C161" s="1279" t="s">
        <v>826</v>
      </c>
      <c r="D161" s="1286" t="s">
        <v>827</v>
      </c>
      <c r="E161" s="1287" t="s">
        <v>797</v>
      </c>
      <c r="F161" s="1281">
        <v>1436</v>
      </c>
      <c r="G161" s="1338"/>
      <c r="H161" s="1282">
        <f t="shared" si="34"/>
        <v>0</v>
      </c>
      <c r="I161" s="1338"/>
      <c r="J161" s="1282">
        <f t="shared" si="35"/>
        <v>0</v>
      </c>
      <c r="K161" s="1338"/>
      <c r="L161" s="1282">
        <f t="shared" si="36"/>
        <v>0</v>
      </c>
      <c r="M161" s="1338"/>
      <c r="N161" s="1282">
        <f t="shared" si="37"/>
        <v>0</v>
      </c>
      <c r="O161" s="1338"/>
      <c r="P161" s="1282">
        <f t="shared" si="38"/>
        <v>0</v>
      </c>
      <c r="Q161" s="1338"/>
      <c r="R161" s="1282">
        <f t="shared" si="39"/>
        <v>0</v>
      </c>
      <c r="S161" s="1338"/>
      <c r="T161" s="1283">
        <f t="shared" si="40"/>
        <v>0</v>
      </c>
      <c r="U161" s="1284">
        <f t="shared" si="41"/>
        <v>0</v>
      </c>
      <c r="V161" s="1285">
        <f t="shared" si="42"/>
        <v>0</v>
      </c>
    </row>
    <row r="162" spans="2:22" outlineLevel="1">
      <c r="B162" s="1278" t="s">
        <v>1566</v>
      </c>
      <c r="C162" s="1279" t="s">
        <v>826</v>
      </c>
      <c r="D162" s="1286" t="s">
        <v>827</v>
      </c>
      <c r="E162" s="1287" t="s">
        <v>798</v>
      </c>
      <c r="F162" s="1281">
        <v>1723.1999999999998</v>
      </c>
      <c r="G162" s="1338"/>
      <c r="H162" s="1282">
        <f t="shared" si="34"/>
        <v>0</v>
      </c>
      <c r="I162" s="1338"/>
      <c r="J162" s="1282">
        <f t="shared" si="35"/>
        <v>0</v>
      </c>
      <c r="K162" s="1338"/>
      <c r="L162" s="1282">
        <f t="shared" si="36"/>
        <v>0</v>
      </c>
      <c r="M162" s="1338"/>
      <c r="N162" s="1282">
        <f t="shared" si="37"/>
        <v>0</v>
      </c>
      <c r="O162" s="1338"/>
      <c r="P162" s="1282">
        <f t="shared" si="38"/>
        <v>0</v>
      </c>
      <c r="Q162" s="1338"/>
      <c r="R162" s="1282">
        <f t="shared" si="39"/>
        <v>0</v>
      </c>
      <c r="S162" s="1338"/>
      <c r="T162" s="1283">
        <f t="shared" si="40"/>
        <v>0</v>
      </c>
      <c r="U162" s="1284">
        <f t="shared" si="41"/>
        <v>0</v>
      </c>
      <c r="V162" s="1285">
        <f t="shared" si="42"/>
        <v>0</v>
      </c>
    </row>
    <row r="163" spans="2:22" outlineLevel="1">
      <c r="B163" s="1278" t="s">
        <v>1567</v>
      </c>
      <c r="C163" s="1279" t="s">
        <v>826</v>
      </c>
      <c r="D163" s="1286" t="s">
        <v>827</v>
      </c>
      <c r="E163" s="1287" t="s">
        <v>799</v>
      </c>
      <c r="F163" s="1281">
        <v>2010.3999999999999</v>
      </c>
      <c r="G163" s="1338"/>
      <c r="H163" s="1282">
        <f t="shared" si="34"/>
        <v>0</v>
      </c>
      <c r="I163" s="1338"/>
      <c r="J163" s="1282">
        <f t="shared" si="35"/>
        <v>0</v>
      </c>
      <c r="K163" s="1338"/>
      <c r="L163" s="1282">
        <f t="shared" si="36"/>
        <v>0</v>
      </c>
      <c r="M163" s="1338"/>
      <c r="N163" s="1282">
        <f t="shared" si="37"/>
        <v>0</v>
      </c>
      <c r="O163" s="1338"/>
      <c r="P163" s="1282">
        <f t="shared" si="38"/>
        <v>0</v>
      </c>
      <c r="Q163" s="1338"/>
      <c r="R163" s="1282">
        <f t="shared" si="39"/>
        <v>0</v>
      </c>
      <c r="S163" s="1338"/>
      <c r="T163" s="1283">
        <f t="shared" si="40"/>
        <v>0</v>
      </c>
      <c r="U163" s="1284">
        <f t="shared" si="41"/>
        <v>0</v>
      </c>
      <c r="V163" s="1285">
        <f t="shared" si="42"/>
        <v>0</v>
      </c>
    </row>
    <row r="164" spans="2:22" outlineLevel="1">
      <c r="B164" s="1278" t="s">
        <v>1568</v>
      </c>
      <c r="C164" s="1279" t="s">
        <v>826</v>
      </c>
      <c r="D164" s="1286" t="s">
        <v>827</v>
      </c>
      <c r="E164" s="1287" t="s">
        <v>800</v>
      </c>
      <c r="F164" s="1281">
        <v>2297.6</v>
      </c>
      <c r="G164" s="1338"/>
      <c r="H164" s="1282">
        <f t="shared" si="34"/>
        <v>0</v>
      </c>
      <c r="I164" s="1338"/>
      <c r="J164" s="1282">
        <f t="shared" si="35"/>
        <v>0</v>
      </c>
      <c r="K164" s="1338"/>
      <c r="L164" s="1282">
        <f t="shared" si="36"/>
        <v>0</v>
      </c>
      <c r="M164" s="1338"/>
      <c r="N164" s="1282">
        <f t="shared" si="37"/>
        <v>0</v>
      </c>
      <c r="O164" s="1338"/>
      <c r="P164" s="1282">
        <f t="shared" si="38"/>
        <v>0</v>
      </c>
      <c r="Q164" s="1338"/>
      <c r="R164" s="1282">
        <f t="shared" si="39"/>
        <v>0</v>
      </c>
      <c r="S164" s="1338"/>
      <c r="T164" s="1283">
        <f t="shared" si="40"/>
        <v>0</v>
      </c>
      <c r="U164" s="1284">
        <f t="shared" si="41"/>
        <v>0</v>
      </c>
      <c r="V164" s="1285">
        <f t="shared" si="42"/>
        <v>0</v>
      </c>
    </row>
    <row r="165" spans="2:22" outlineLevel="1">
      <c r="B165" s="1278" t="s">
        <v>1569</v>
      </c>
      <c r="C165" s="1279" t="s">
        <v>826</v>
      </c>
      <c r="D165" s="1286" t="s">
        <v>827</v>
      </c>
      <c r="E165" s="1287" t="s">
        <v>828</v>
      </c>
      <c r="F165" s="1281">
        <v>2728.4</v>
      </c>
      <c r="G165" s="1338"/>
      <c r="H165" s="1282">
        <f t="shared" si="34"/>
        <v>0</v>
      </c>
      <c r="I165" s="1338"/>
      <c r="J165" s="1282">
        <f t="shared" si="35"/>
        <v>0</v>
      </c>
      <c r="K165" s="1338"/>
      <c r="L165" s="1282">
        <f t="shared" si="36"/>
        <v>0</v>
      </c>
      <c r="M165" s="1338"/>
      <c r="N165" s="1282">
        <f t="shared" si="37"/>
        <v>0</v>
      </c>
      <c r="O165" s="1338"/>
      <c r="P165" s="1282">
        <f t="shared" si="38"/>
        <v>0</v>
      </c>
      <c r="Q165" s="1338"/>
      <c r="R165" s="1282">
        <f t="shared" si="39"/>
        <v>0</v>
      </c>
      <c r="S165" s="1338"/>
      <c r="T165" s="1283">
        <f t="shared" si="40"/>
        <v>0</v>
      </c>
      <c r="U165" s="1284">
        <f t="shared" ref="U165:U228" si="43">G165+I165+K165+M165+O165+Q165+S165</f>
        <v>0</v>
      </c>
      <c r="V165" s="1285">
        <f t="shared" ref="V165:V228" si="44">U165*F165</f>
        <v>0</v>
      </c>
    </row>
    <row r="166" spans="2:22" outlineLevel="1">
      <c r="B166" s="1278" t="s">
        <v>1570</v>
      </c>
      <c r="C166" s="1279" t="s">
        <v>826</v>
      </c>
      <c r="D166" s="1286" t="s">
        <v>827</v>
      </c>
      <c r="E166" s="1287" t="s">
        <v>803</v>
      </c>
      <c r="F166" s="1281">
        <v>3302.7999999999997</v>
      </c>
      <c r="G166" s="1338"/>
      <c r="H166" s="1282">
        <f t="shared" si="34"/>
        <v>0</v>
      </c>
      <c r="I166" s="1338"/>
      <c r="J166" s="1282">
        <f t="shared" si="35"/>
        <v>0</v>
      </c>
      <c r="K166" s="1338"/>
      <c r="L166" s="1282">
        <f t="shared" si="36"/>
        <v>0</v>
      </c>
      <c r="M166" s="1338"/>
      <c r="N166" s="1282">
        <f t="shared" si="37"/>
        <v>0</v>
      </c>
      <c r="O166" s="1338"/>
      <c r="P166" s="1282">
        <f t="shared" si="38"/>
        <v>0</v>
      </c>
      <c r="Q166" s="1338"/>
      <c r="R166" s="1282">
        <f t="shared" si="39"/>
        <v>0</v>
      </c>
      <c r="S166" s="1338"/>
      <c r="T166" s="1283">
        <f t="shared" si="40"/>
        <v>0</v>
      </c>
      <c r="U166" s="1284">
        <f t="shared" si="43"/>
        <v>0</v>
      </c>
      <c r="V166" s="1285">
        <f t="shared" si="44"/>
        <v>0</v>
      </c>
    </row>
    <row r="167" spans="2:22" outlineLevel="1">
      <c r="B167" s="1278" t="s">
        <v>1571</v>
      </c>
      <c r="C167" s="1279" t="s">
        <v>826</v>
      </c>
      <c r="D167" s="1286" t="s">
        <v>827</v>
      </c>
      <c r="E167" s="1287" t="s">
        <v>804</v>
      </c>
      <c r="F167" s="1281">
        <v>3877.2</v>
      </c>
      <c r="G167" s="1338"/>
      <c r="H167" s="1282">
        <f t="shared" si="34"/>
        <v>0</v>
      </c>
      <c r="I167" s="1338"/>
      <c r="J167" s="1282">
        <f t="shared" si="35"/>
        <v>0</v>
      </c>
      <c r="K167" s="1338"/>
      <c r="L167" s="1282">
        <f t="shared" si="36"/>
        <v>0</v>
      </c>
      <c r="M167" s="1338"/>
      <c r="N167" s="1282">
        <f t="shared" si="37"/>
        <v>0</v>
      </c>
      <c r="O167" s="1338"/>
      <c r="P167" s="1282">
        <f t="shared" si="38"/>
        <v>0</v>
      </c>
      <c r="Q167" s="1338"/>
      <c r="R167" s="1282">
        <f t="shared" si="39"/>
        <v>0</v>
      </c>
      <c r="S167" s="1338"/>
      <c r="T167" s="1283">
        <f t="shared" si="40"/>
        <v>0</v>
      </c>
      <c r="U167" s="1284">
        <f t="shared" si="43"/>
        <v>0</v>
      </c>
      <c r="V167" s="1285">
        <f t="shared" si="44"/>
        <v>0</v>
      </c>
    </row>
    <row r="168" spans="2:22" outlineLevel="1">
      <c r="B168" s="1278" t="s">
        <v>1572</v>
      </c>
      <c r="C168" s="1279" t="s">
        <v>826</v>
      </c>
      <c r="D168" s="1286" t="s">
        <v>827</v>
      </c>
      <c r="E168" s="1287" t="s">
        <v>805</v>
      </c>
      <c r="F168" s="1281">
        <v>4451.5999999999995</v>
      </c>
      <c r="G168" s="1338"/>
      <c r="H168" s="1282">
        <f t="shared" si="34"/>
        <v>0</v>
      </c>
      <c r="I168" s="1338"/>
      <c r="J168" s="1282">
        <f t="shared" si="35"/>
        <v>0</v>
      </c>
      <c r="K168" s="1338"/>
      <c r="L168" s="1282">
        <f t="shared" si="36"/>
        <v>0</v>
      </c>
      <c r="M168" s="1338"/>
      <c r="N168" s="1282">
        <f t="shared" si="37"/>
        <v>0</v>
      </c>
      <c r="O168" s="1338"/>
      <c r="P168" s="1282">
        <f t="shared" si="38"/>
        <v>0</v>
      </c>
      <c r="Q168" s="1338"/>
      <c r="R168" s="1282">
        <f t="shared" si="39"/>
        <v>0</v>
      </c>
      <c r="S168" s="1338"/>
      <c r="T168" s="1283">
        <f t="shared" si="40"/>
        <v>0</v>
      </c>
      <c r="U168" s="1284">
        <f t="shared" si="43"/>
        <v>0</v>
      </c>
      <c r="V168" s="1285">
        <f t="shared" si="44"/>
        <v>0</v>
      </c>
    </row>
    <row r="169" spans="2:22" outlineLevel="1">
      <c r="B169" s="1278" t="s">
        <v>1573</v>
      </c>
      <c r="C169" s="1279" t="s">
        <v>826</v>
      </c>
      <c r="D169" s="1286" t="s">
        <v>827</v>
      </c>
      <c r="E169" s="1287" t="s">
        <v>806</v>
      </c>
      <c r="F169" s="1281">
        <v>5026</v>
      </c>
      <c r="G169" s="1338"/>
      <c r="H169" s="1282">
        <f t="shared" si="34"/>
        <v>0</v>
      </c>
      <c r="I169" s="1338"/>
      <c r="J169" s="1282">
        <f t="shared" si="35"/>
        <v>0</v>
      </c>
      <c r="K169" s="1338"/>
      <c r="L169" s="1282">
        <f t="shared" si="36"/>
        <v>0</v>
      </c>
      <c r="M169" s="1338"/>
      <c r="N169" s="1282">
        <f t="shared" si="37"/>
        <v>0</v>
      </c>
      <c r="O169" s="1338"/>
      <c r="P169" s="1282">
        <f t="shared" si="38"/>
        <v>0</v>
      </c>
      <c r="Q169" s="1338"/>
      <c r="R169" s="1282">
        <f t="shared" si="39"/>
        <v>0</v>
      </c>
      <c r="S169" s="1338"/>
      <c r="T169" s="1283">
        <f t="shared" si="40"/>
        <v>0</v>
      </c>
      <c r="U169" s="1284">
        <f t="shared" si="43"/>
        <v>0</v>
      </c>
      <c r="V169" s="1285">
        <f t="shared" si="44"/>
        <v>0</v>
      </c>
    </row>
    <row r="170" spans="2:22" outlineLevel="1">
      <c r="B170" s="1278" t="s">
        <v>1574</v>
      </c>
      <c r="C170" s="1279" t="s">
        <v>826</v>
      </c>
      <c r="D170" s="1286" t="s">
        <v>827</v>
      </c>
      <c r="E170" s="1287" t="s">
        <v>829</v>
      </c>
      <c r="F170" s="1281">
        <v>5744</v>
      </c>
      <c r="G170" s="1338"/>
      <c r="H170" s="1282">
        <f t="shared" si="34"/>
        <v>0</v>
      </c>
      <c r="I170" s="1338"/>
      <c r="J170" s="1282">
        <f t="shared" si="35"/>
        <v>0</v>
      </c>
      <c r="K170" s="1338"/>
      <c r="L170" s="1282">
        <f t="shared" si="36"/>
        <v>0</v>
      </c>
      <c r="M170" s="1338"/>
      <c r="N170" s="1282">
        <f t="shared" si="37"/>
        <v>0</v>
      </c>
      <c r="O170" s="1338"/>
      <c r="P170" s="1282">
        <f t="shared" si="38"/>
        <v>0</v>
      </c>
      <c r="Q170" s="1338"/>
      <c r="R170" s="1282">
        <f t="shared" si="39"/>
        <v>0</v>
      </c>
      <c r="S170" s="1338"/>
      <c r="T170" s="1283">
        <f t="shared" si="40"/>
        <v>0</v>
      </c>
      <c r="U170" s="1284">
        <f t="shared" si="43"/>
        <v>0</v>
      </c>
      <c r="V170" s="1285">
        <f t="shared" si="44"/>
        <v>0</v>
      </c>
    </row>
    <row r="171" spans="2:22" outlineLevel="1">
      <c r="B171" s="1278" t="s">
        <v>1575</v>
      </c>
      <c r="C171" s="1279" t="s">
        <v>826</v>
      </c>
      <c r="D171" s="1286" t="s">
        <v>827</v>
      </c>
      <c r="E171" s="1287" t="s">
        <v>830</v>
      </c>
      <c r="F171" s="1281">
        <v>6605.5999999999995</v>
      </c>
      <c r="G171" s="1338"/>
      <c r="H171" s="1282">
        <f t="shared" si="34"/>
        <v>0</v>
      </c>
      <c r="I171" s="1338"/>
      <c r="J171" s="1282">
        <f t="shared" si="35"/>
        <v>0</v>
      </c>
      <c r="K171" s="1338"/>
      <c r="L171" s="1282">
        <f t="shared" si="36"/>
        <v>0</v>
      </c>
      <c r="M171" s="1338"/>
      <c r="N171" s="1282">
        <f t="shared" si="37"/>
        <v>0</v>
      </c>
      <c r="O171" s="1338"/>
      <c r="P171" s="1282">
        <f t="shared" si="38"/>
        <v>0</v>
      </c>
      <c r="Q171" s="1338"/>
      <c r="R171" s="1282">
        <f t="shared" si="39"/>
        <v>0</v>
      </c>
      <c r="S171" s="1338"/>
      <c r="T171" s="1283">
        <f t="shared" si="40"/>
        <v>0</v>
      </c>
      <c r="U171" s="1284">
        <f t="shared" si="43"/>
        <v>0</v>
      </c>
      <c r="V171" s="1285">
        <f t="shared" si="44"/>
        <v>0</v>
      </c>
    </row>
    <row r="172" spans="2:22" outlineLevel="1">
      <c r="B172" s="1278" t="s">
        <v>1576</v>
      </c>
      <c r="C172" s="1279" t="s">
        <v>826</v>
      </c>
      <c r="D172" s="1286" t="s">
        <v>827</v>
      </c>
      <c r="E172" s="1287" t="s">
        <v>831</v>
      </c>
      <c r="F172" s="1281">
        <v>7467.2</v>
      </c>
      <c r="G172" s="1338"/>
      <c r="H172" s="1282">
        <f t="shared" si="34"/>
        <v>0</v>
      </c>
      <c r="I172" s="1338"/>
      <c r="J172" s="1282">
        <f t="shared" si="35"/>
        <v>0</v>
      </c>
      <c r="K172" s="1338"/>
      <c r="L172" s="1282">
        <f t="shared" si="36"/>
        <v>0</v>
      </c>
      <c r="M172" s="1338"/>
      <c r="N172" s="1282">
        <f t="shared" si="37"/>
        <v>0</v>
      </c>
      <c r="O172" s="1338"/>
      <c r="P172" s="1282">
        <f t="shared" si="38"/>
        <v>0</v>
      </c>
      <c r="Q172" s="1338"/>
      <c r="R172" s="1282">
        <f t="shared" si="39"/>
        <v>0</v>
      </c>
      <c r="S172" s="1338"/>
      <c r="T172" s="1283">
        <f t="shared" si="40"/>
        <v>0</v>
      </c>
      <c r="U172" s="1284">
        <f t="shared" si="43"/>
        <v>0</v>
      </c>
      <c r="V172" s="1285">
        <f t="shared" si="44"/>
        <v>0</v>
      </c>
    </row>
    <row r="173" spans="2:22" outlineLevel="1">
      <c r="B173" s="1278" t="s">
        <v>1577</v>
      </c>
      <c r="C173" s="1279" t="s">
        <v>826</v>
      </c>
      <c r="D173" s="1286" t="s">
        <v>827</v>
      </c>
      <c r="E173" s="1287" t="s">
        <v>832</v>
      </c>
      <c r="F173" s="1281">
        <v>8328.7999999999993</v>
      </c>
      <c r="G173" s="1338"/>
      <c r="H173" s="1282">
        <f t="shared" si="34"/>
        <v>0</v>
      </c>
      <c r="I173" s="1338"/>
      <c r="J173" s="1282">
        <f t="shared" si="35"/>
        <v>0</v>
      </c>
      <c r="K173" s="1338"/>
      <c r="L173" s="1282">
        <f t="shared" si="36"/>
        <v>0</v>
      </c>
      <c r="M173" s="1338"/>
      <c r="N173" s="1282">
        <f t="shared" si="37"/>
        <v>0</v>
      </c>
      <c r="O173" s="1338"/>
      <c r="P173" s="1282">
        <f t="shared" si="38"/>
        <v>0</v>
      </c>
      <c r="Q173" s="1338"/>
      <c r="R173" s="1282">
        <f t="shared" si="39"/>
        <v>0</v>
      </c>
      <c r="S173" s="1338"/>
      <c r="T173" s="1283">
        <f t="shared" si="40"/>
        <v>0</v>
      </c>
      <c r="U173" s="1284">
        <f t="shared" si="43"/>
        <v>0</v>
      </c>
      <c r="V173" s="1285">
        <f t="shared" si="44"/>
        <v>0</v>
      </c>
    </row>
    <row r="174" spans="2:22" outlineLevel="1">
      <c r="B174" s="1278" t="s">
        <v>1578</v>
      </c>
      <c r="C174" s="1279" t="s">
        <v>826</v>
      </c>
      <c r="D174" s="1286" t="s">
        <v>827</v>
      </c>
      <c r="E174" s="1287" t="s">
        <v>833</v>
      </c>
      <c r="F174" s="1281">
        <v>9190.4</v>
      </c>
      <c r="G174" s="1338"/>
      <c r="H174" s="1282">
        <f t="shared" si="34"/>
        <v>0</v>
      </c>
      <c r="I174" s="1338"/>
      <c r="J174" s="1282">
        <f t="shared" si="35"/>
        <v>0</v>
      </c>
      <c r="K174" s="1338"/>
      <c r="L174" s="1282">
        <f t="shared" si="36"/>
        <v>0</v>
      </c>
      <c r="M174" s="1338"/>
      <c r="N174" s="1282">
        <f t="shared" si="37"/>
        <v>0</v>
      </c>
      <c r="O174" s="1338"/>
      <c r="P174" s="1282">
        <f t="shared" si="38"/>
        <v>0</v>
      </c>
      <c r="Q174" s="1338"/>
      <c r="R174" s="1282">
        <f t="shared" si="39"/>
        <v>0</v>
      </c>
      <c r="S174" s="1338"/>
      <c r="T174" s="1283">
        <f t="shared" si="40"/>
        <v>0</v>
      </c>
      <c r="U174" s="1284">
        <f t="shared" si="43"/>
        <v>0</v>
      </c>
      <c r="V174" s="1285">
        <f t="shared" si="44"/>
        <v>0</v>
      </c>
    </row>
    <row r="175" spans="2:22" outlineLevel="1">
      <c r="B175" s="1278" t="s">
        <v>1579</v>
      </c>
      <c r="C175" s="1279" t="s">
        <v>826</v>
      </c>
      <c r="D175" s="1286" t="s">
        <v>827</v>
      </c>
      <c r="E175" s="1287" t="s">
        <v>834</v>
      </c>
      <c r="F175" s="1281">
        <v>10052</v>
      </c>
      <c r="G175" s="1338"/>
      <c r="H175" s="1282">
        <f t="shared" si="34"/>
        <v>0</v>
      </c>
      <c r="I175" s="1338"/>
      <c r="J175" s="1282">
        <f t="shared" si="35"/>
        <v>0</v>
      </c>
      <c r="K175" s="1338"/>
      <c r="L175" s="1282">
        <f t="shared" si="36"/>
        <v>0</v>
      </c>
      <c r="M175" s="1338"/>
      <c r="N175" s="1282">
        <f t="shared" si="37"/>
        <v>0</v>
      </c>
      <c r="O175" s="1338"/>
      <c r="P175" s="1282">
        <f t="shared" si="38"/>
        <v>0</v>
      </c>
      <c r="Q175" s="1338"/>
      <c r="R175" s="1282">
        <f t="shared" si="39"/>
        <v>0</v>
      </c>
      <c r="S175" s="1338"/>
      <c r="T175" s="1283">
        <f t="shared" si="40"/>
        <v>0</v>
      </c>
      <c r="U175" s="1284">
        <f t="shared" si="43"/>
        <v>0</v>
      </c>
      <c r="V175" s="1285">
        <f t="shared" si="44"/>
        <v>0</v>
      </c>
    </row>
    <row r="176" spans="2:22" ht="12.75" customHeight="1">
      <c r="B176" s="1292" t="s">
        <v>2008</v>
      </c>
      <c r="C176" s="1254" t="s">
        <v>835</v>
      </c>
      <c r="D176" s="1270"/>
      <c r="E176" s="1304"/>
      <c r="F176" s="1305"/>
      <c r="G176" s="1339"/>
      <c r="H176" s="1296"/>
      <c r="I176" s="1339"/>
      <c r="J176" s="1296"/>
      <c r="K176" s="1339"/>
      <c r="L176" s="1296"/>
      <c r="M176" s="1339"/>
      <c r="N176" s="1296"/>
      <c r="O176" s="1339"/>
      <c r="P176" s="1296"/>
      <c r="Q176" s="1339"/>
      <c r="R176" s="1296"/>
      <c r="S176" s="1339"/>
      <c r="T176" s="1296"/>
      <c r="U176" s="1297"/>
      <c r="V176" s="1298"/>
    </row>
    <row r="177" spans="2:22" outlineLevel="1">
      <c r="B177" s="1278" t="s">
        <v>1580</v>
      </c>
      <c r="C177" s="1306" t="s">
        <v>835</v>
      </c>
      <c r="D177" s="1286" t="s">
        <v>836</v>
      </c>
      <c r="E177" s="1307" t="s">
        <v>794</v>
      </c>
      <c r="F177" s="1281">
        <v>998.6</v>
      </c>
      <c r="G177" s="1338"/>
      <c r="H177" s="1282">
        <f t="shared" si="34"/>
        <v>0</v>
      </c>
      <c r="I177" s="1338"/>
      <c r="J177" s="1282">
        <f t="shared" si="35"/>
        <v>0</v>
      </c>
      <c r="K177" s="1338"/>
      <c r="L177" s="1282">
        <f t="shared" si="36"/>
        <v>0</v>
      </c>
      <c r="M177" s="1338"/>
      <c r="N177" s="1282">
        <f t="shared" si="37"/>
        <v>0</v>
      </c>
      <c r="O177" s="1338"/>
      <c r="P177" s="1282">
        <f t="shared" si="38"/>
        <v>0</v>
      </c>
      <c r="Q177" s="1338"/>
      <c r="R177" s="1282">
        <f t="shared" si="39"/>
        <v>0</v>
      </c>
      <c r="S177" s="1338"/>
      <c r="T177" s="1283">
        <f t="shared" si="40"/>
        <v>0</v>
      </c>
      <c r="U177" s="1284">
        <f t="shared" si="43"/>
        <v>0</v>
      </c>
      <c r="V177" s="1285">
        <f t="shared" si="44"/>
        <v>0</v>
      </c>
    </row>
    <row r="178" spans="2:22" outlineLevel="1">
      <c r="B178" s="1278" t="s">
        <v>1581</v>
      </c>
      <c r="C178" s="1306" t="s">
        <v>835</v>
      </c>
      <c r="D178" s="1286" t="s">
        <v>836</v>
      </c>
      <c r="E178" s="1307" t="s">
        <v>795</v>
      </c>
      <c r="F178" s="1281">
        <v>1497.9</v>
      </c>
      <c r="G178" s="1338"/>
      <c r="H178" s="1282">
        <f t="shared" si="34"/>
        <v>0</v>
      </c>
      <c r="I178" s="1338"/>
      <c r="J178" s="1282">
        <f t="shared" si="35"/>
        <v>0</v>
      </c>
      <c r="K178" s="1338"/>
      <c r="L178" s="1282">
        <f t="shared" si="36"/>
        <v>0</v>
      </c>
      <c r="M178" s="1338"/>
      <c r="N178" s="1282">
        <f t="shared" si="37"/>
        <v>0</v>
      </c>
      <c r="O178" s="1338"/>
      <c r="P178" s="1282">
        <f t="shared" si="38"/>
        <v>0</v>
      </c>
      <c r="Q178" s="1338"/>
      <c r="R178" s="1282">
        <f t="shared" si="39"/>
        <v>0</v>
      </c>
      <c r="S178" s="1338"/>
      <c r="T178" s="1283">
        <f t="shared" si="40"/>
        <v>0</v>
      </c>
      <c r="U178" s="1284">
        <f t="shared" si="43"/>
        <v>0</v>
      </c>
      <c r="V178" s="1285">
        <f t="shared" si="44"/>
        <v>0</v>
      </c>
    </row>
    <row r="179" spans="2:22" outlineLevel="1">
      <c r="B179" s="1278" t="s">
        <v>1582</v>
      </c>
      <c r="C179" s="1306" t="s">
        <v>835</v>
      </c>
      <c r="D179" s="1286" t="s">
        <v>836</v>
      </c>
      <c r="E179" s="1307" t="s">
        <v>796</v>
      </c>
      <c r="F179" s="1281">
        <v>1997.2</v>
      </c>
      <c r="G179" s="1338"/>
      <c r="H179" s="1282">
        <f t="shared" si="34"/>
        <v>0</v>
      </c>
      <c r="I179" s="1338"/>
      <c r="J179" s="1282">
        <f t="shared" si="35"/>
        <v>0</v>
      </c>
      <c r="K179" s="1338"/>
      <c r="L179" s="1282">
        <f t="shared" si="36"/>
        <v>0</v>
      </c>
      <c r="M179" s="1338"/>
      <c r="N179" s="1282">
        <f t="shared" si="37"/>
        <v>0</v>
      </c>
      <c r="O179" s="1338"/>
      <c r="P179" s="1282">
        <f t="shared" si="38"/>
        <v>0</v>
      </c>
      <c r="Q179" s="1338"/>
      <c r="R179" s="1282">
        <f t="shared" si="39"/>
        <v>0</v>
      </c>
      <c r="S179" s="1338"/>
      <c r="T179" s="1283">
        <f t="shared" si="40"/>
        <v>0</v>
      </c>
      <c r="U179" s="1284">
        <f t="shared" si="43"/>
        <v>0</v>
      </c>
      <c r="V179" s="1285">
        <f t="shared" si="44"/>
        <v>0</v>
      </c>
    </row>
    <row r="180" spans="2:22" outlineLevel="1">
      <c r="B180" s="1278" t="s">
        <v>1583</v>
      </c>
      <c r="C180" s="1306" t="s">
        <v>835</v>
      </c>
      <c r="D180" s="1286" t="s">
        <v>836</v>
      </c>
      <c r="E180" s="1307" t="s">
        <v>797</v>
      </c>
      <c r="F180" s="1281">
        <v>2496.5</v>
      </c>
      <c r="G180" s="1338"/>
      <c r="H180" s="1282">
        <f t="shared" si="34"/>
        <v>0</v>
      </c>
      <c r="I180" s="1338"/>
      <c r="J180" s="1282">
        <f t="shared" si="35"/>
        <v>0</v>
      </c>
      <c r="K180" s="1338"/>
      <c r="L180" s="1282">
        <f t="shared" si="36"/>
        <v>0</v>
      </c>
      <c r="M180" s="1338"/>
      <c r="N180" s="1282">
        <f t="shared" si="37"/>
        <v>0</v>
      </c>
      <c r="O180" s="1338"/>
      <c r="P180" s="1282">
        <f t="shared" si="38"/>
        <v>0</v>
      </c>
      <c r="Q180" s="1338"/>
      <c r="R180" s="1282">
        <f t="shared" si="39"/>
        <v>0</v>
      </c>
      <c r="S180" s="1338"/>
      <c r="T180" s="1283">
        <f t="shared" si="40"/>
        <v>0</v>
      </c>
      <c r="U180" s="1284">
        <f t="shared" si="43"/>
        <v>0</v>
      </c>
      <c r="V180" s="1285">
        <f t="shared" si="44"/>
        <v>0</v>
      </c>
    </row>
    <row r="181" spans="2:22" outlineLevel="1">
      <c r="B181" s="1278" t="s">
        <v>1584</v>
      </c>
      <c r="C181" s="1306" t="s">
        <v>835</v>
      </c>
      <c r="D181" s="1286" t="s">
        <v>836</v>
      </c>
      <c r="E181" s="1307" t="s">
        <v>798</v>
      </c>
      <c r="F181" s="1281">
        <v>2995.8</v>
      </c>
      <c r="G181" s="1338"/>
      <c r="H181" s="1282">
        <f t="shared" si="34"/>
        <v>0</v>
      </c>
      <c r="I181" s="1338"/>
      <c r="J181" s="1282">
        <f t="shared" si="35"/>
        <v>0</v>
      </c>
      <c r="K181" s="1338"/>
      <c r="L181" s="1282">
        <f t="shared" si="36"/>
        <v>0</v>
      </c>
      <c r="M181" s="1338"/>
      <c r="N181" s="1282">
        <f t="shared" si="37"/>
        <v>0</v>
      </c>
      <c r="O181" s="1338"/>
      <c r="P181" s="1282">
        <f t="shared" si="38"/>
        <v>0</v>
      </c>
      <c r="Q181" s="1338"/>
      <c r="R181" s="1282">
        <f t="shared" si="39"/>
        <v>0</v>
      </c>
      <c r="S181" s="1338"/>
      <c r="T181" s="1283">
        <f t="shared" si="40"/>
        <v>0</v>
      </c>
      <c r="U181" s="1284">
        <f t="shared" si="43"/>
        <v>0</v>
      </c>
      <c r="V181" s="1285">
        <f t="shared" si="44"/>
        <v>0</v>
      </c>
    </row>
    <row r="182" spans="2:22" outlineLevel="1">
      <c r="B182" s="1278" t="s">
        <v>1585</v>
      </c>
      <c r="C182" s="1306" t="s">
        <v>835</v>
      </c>
      <c r="D182" s="1286" t="s">
        <v>836</v>
      </c>
      <c r="E182" s="1307" t="s">
        <v>799</v>
      </c>
      <c r="F182" s="1281">
        <v>3495.1000000000004</v>
      </c>
      <c r="G182" s="1338"/>
      <c r="H182" s="1282">
        <f t="shared" si="34"/>
        <v>0</v>
      </c>
      <c r="I182" s="1338"/>
      <c r="J182" s="1282">
        <f t="shared" si="35"/>
        <v>0</v>
      </c>
      <c r="K182" s="1338"/>
      <c r="L182" s="1282">
        <f t="shared" si="36"/>
        <v>0</v>
      </c>
      <c r="M182" s="1338"/>
      <c r="N182" s="1282">
        <f t="shared" si="37"/>
        <v>0</v>
      </c>
      <c r="O182" s="1338"/>
      <c r="P182" s="1282">
        <f t="shared" si="38"/>
        <v>0</v>
      </c>
      <c r="Q182" s="1338"/>
      <c r="R182" s="1282">
        <f t="shared" si="39"/>
        <v>0</v>
      </c>
      <c r="S182" s="1338"/>
      <c r="T182" s="1283">
        <f t="shared" si="40"/>
        <v>0</v>
      </c>
      <c r="U182" s="1284">
        <f t="shared" si="43"/>
        <v>0</v>
      </c>
      <c r="V182" s="1285">
        <f t="shared" si="44"/>
        <v>0</v>
      </c>
    </row>
    <row r="183" spans="2:22" outlineLevel="1">
      <c r="B183" s="1278" t="s">
        <v>1586</v>
      </c>
      <c r="C183" s="1306" t="s">
        <v>835</v>
      </c>
      <c r="D183" s="1286" t="s">
        <v>836</v>
      </c>
      <c r="E183" s="1307" t="s">
        <v>800</v>
      </c>
      <c r="F183" s="1281">
        <v>3994.4</v>
      </c>
      <c r="G183" s="1338"/>
      <c r="H183" s="1282">
        <f t="shared" si="34"/>
        <v>0</v>
      </c>
      <c r="I183" s="1338"/>
      <c r="J183" s="1282">
        <f t="shared" si="35"/>
        <v>0</v>
      </c>
      <c r="K183" s="1338"/>
      <c r="L183" s="1282">
        <f t="shared" si="36"/>
        <v>0</v>
      </c>
      <c r="M183" s="1338"/>
      <c r="N183" s="1282">
        <f t="shared" si="37"/>
        <v>0</v>
      </c>
      <c r="O183" s="1338"/>
      <c r="P183" s="1282">
        <f t="shared" si="38"/>
        <v>0</v>
      </c>
      <c r="Q183" s="1338"/>
      <c r="R183" s="1282">
        <f t="shared" si="39"/>
        <v>0</v>
      </c>
      <c r="S183" s="1338"/>
      <c r="T183" s="1283">
        <f t="shared" si="40"/>
        <v>0</v>
      </c>
      <c r="U183" s="1284">
        <f t="shared" si="43"/>
        <v>0</v>
      </c>
      <c r="V183" s="1285">
        <f t="shared" si="44"/>
        <v>0</v>
      </c>
    </row>
    <row r="184" spans="2:22" outlineLevel="1">
      <c r="B184" s="1278" t="s">
        <v>1587</v>
      </c>
      <c r="C184" s="1306" t="s">
        <v>835</v>
      </c>
      <c r="D184" s="1286" t="s">
        <v>836</v>
      </c>
      <c r="E184" s="1307" t="s">
        <v>801</v>
      </c>
      <c r="F184" s="1281">
        <v>4493.7000000000007</v>
      </c>
      <c r="G184" s="1338"/>
      <c r="H184" s="1282">
        <f t="shared" si="34"/>
        <v>0</v>
      </c>
      <c r="I184" s="1338"/>
      <c r="J184" s="1282">
        <f t="shared" si="35"/>
        <v>0</v>
      </c>
      <c r="K184" s="1338"/>
      <c r="L184" s="1282">
        <f t="shared" si="36"/>
        <v>0</v>
      </c>
      <c r="M184" s="1338"/>
      <c r="N184" s="1282">
        <f t="shared" si="37"/>
        <v>0</v>
      </c>
      <c r="O184" s="1338"/>
      <c r="P184" s="1282">
        <f t="shared" si="38"/>
        <v>0</v>
      </c>
      <c r="Q184" s="1338"/>
      <c r="R184" s="1282">
        <f t="shared" si="39"/>
        <v>0</v>
      </c>
      <c r="S184" s="1338"/>
      <c r="T184" s="1283">
        <f t="shared" si="40"/>
        <v>0</v>
      </c>
      <c r="U184" s="1284">
        <f t="shared" si="43"/>
        <v>0</v>
      </c>
      <c r="V184" s="1285">
        <f t="shared" si="44"/>
        <v>0</v>
      </c>
    </row>
    <row r="185" spans="2:22" outlineLevel="1">
      <c r="B185" s="1278" t="s">
        <v>1588</v>
      </c>
      <c r="C185" s="1306" t="s">
        <v>835</v>
      </c>
      <c r="D185" s="1286" t="s">
        <v>836</v>
      </c>
      <c r="E185" s="1307" t="s">
        <v>837</v>
      </c>
      <c r="F185" s="1281">
        <v>5242.6500000000005</v>
      </c>
      <c r="G185" s="1338"/>
      <c r="H185" s="1282">
        <f t="shared" si="34"/>
        <v>0</v>
      </c>
      <c r="I185" s="1338"/>
      <c r="J185" s="1282">
        <f t="shared" si="35"/>
        <v>0</v>
      </c>
      <c r="K185" s="1338"/>
      <c r="L185" s="1282">
        <f t="shared" si="36"/>
        <v>0</v>
      </c>
      <c r="M185" s="1338"/>
      <c r="N185" s="1282">
        <f t="shared" si="37"/>
        <v>0</v>
      </c>
      <c r="O185" s="1338"/>
      <c r="P185" s="1282">
        <f t="shared" si="38"/>
        <v>0</v>
      </c>
      <c r="Q185" s="1338"/>
      <c r="R185" s="1282">
        <f t="shared" si="39"/>
        <v>0</v>
      </c>
      <c r="S185" s="1338"/>
      <c r="T185" s="1283">
        <f t="shared" si="40"/>
        <v>0</v>
      </c>
      <c r="U185" s="1284">
        <f t="shared" si="43"/>
        <v>0</v>
      </c>
      <c r="V185" s="1285">
        <f t="shared" si="44"/>
        <v>0</v>
      </c>
    </row>
    <row r="186" spans="2:22" outlineLevel="1">
      <c r="B186" s="1278" t="s">
        <v>1589</v>
      </c>
      <c r="C186" s="1306" t="s">
        <v>835</v>
      </c>
      <c r="D186" s="1286" t="s">
        <v>836</v>
      </c>
      <c r="E186" s="1307" t="s">
        <v>838</v>
      </c>
      <c r="F186" s="1281">
        <v>6241.25</v>
      </c>
      <c r="G186" s="1338"/>
      <c r="H186" s="1282">
        <f t="shared" si="34"/>
        <v>0</v>
      </c>
      <c r="I186" s="1338"/>
      <c r="J186" s="1282">
        <f t="shared" si="35"/>
        <v>0</v>
      </c>
      <c r="K186" s="1338"/>
      <c r="L186" s="1282">
        <f t="shared" si="36"/>
        <v>0</v>
      </c>
      <c r="M186" s="1338"/>
      <c r="N186" s="1282">
        <f t="shared" si="37"/>
        <v>0</v>
      </c>
      <c r="O186" s="1338"/>
      <c r="P186" s="1282">
        <f t="shared" si="38"/>
        <v>0</v>
      </c>
      <c r="Q186" s="1338"/>
      <c r="R186" s="1282">
        <f t="shared" si="39"/>
        <v>0</v>
      </c>
      <c r="S186" s="1338"/>
      <c r="T186" s="1283">
        <f t="shared" si="40"/>
        <v>0</v>
      </c>
      <c r="U186" s="1284">
        <f t="shared" si="43"/>
        <v>0</v>
      </c>
      <c r="V186" s="1285">
        <f t="shared" si="44"/>
        <v>0</v>
      </c>
    </row>
    <row r="187" spans="2:22" outlineLevel="1">
      <c r="B187" s="1278" t="s">
        <v>1590</v>
      </c>
      <c r="C187" s="1306" t="s">
        <v>835</v>
      </c>
      <c r="D187" s="1286" t="s">
        <v>836</v>
      </c>
      <c r="E187" s="1307" t="s">
        <v>839</v>
      </c>
      <c r="F187" s="1281">
        <v>7239.85</v>
      </c>
      <c r="G187" s="1338"/>
      <c r="H187" s="1282">
        <f t="shared" si="34"/>
        <v>0</v>
      </c>
      <c r="I187" s="1338"/>
      <c r="J187" s="1282">
        <f t="shared" si="35"/>
        <v>0</v>
      </c>
      <c r="K187" s="1338"/>
      <c r="L187" s="1282">
        <f t="shared" si="36"/>
        <v>0</v>
      </c>
      <c r="M187" s="1338"/>
      <c r="N187" s="1282">
        <f t="shared" si="37"/>
        <v>0</v>
      </c>
      <c r="O187" s="1338"/>
      <c r="P187" s="1282">
        <f t="shared" si="38"/>
        <v>0</v>
      </c>
      <c r="Q187" s="1338"/>
      <c r="R187" s="1282">
        <f t="shared" si="39"/>
        <v>0</v>
      </c>
      <c r="S187" s="1338"/>
      <c r="T187" s="1283">
        <f t="shared" si="40"/>
        <v>0</v>
      </c>
      <c r="U187" s="1284">
        <f t="shared" si="43"/>
        <v>0</v>
      </c>
      <c r="V187" s="1285">
        <f t="shared" si="44"/>
        <v>0</v>
      </c>
    </row>
    <row r="188" spans="2:22" outlineLevel="1">
      <c r="B188" s="1278" t="s">
        <v>1591</v>
      </c>
      <c r="C188" s="1306" t="s">
        <v>835</v>
      </c>
      <c r="D188" s="1286" t="s">
        <v>836</v>
      </c>
      <c r="E188" s="1307" t="s">
        <v>840</v>
      </c>
      <c r="F188" s="1281">
        <v>8238.4500000000007</v>
      </c>
      <c r="G188" s="1338"/>
      <c r="H188" s="1282">
        <f t="shared" si="34"/>
        <v>0</v>
      </c>
      <c r="I188" s="1338"/>
      <c r="J188" s="1282">
        <f t="shared" si="35"/>
        <v>0</v>
      </c>
      <c r="K188" s="1338"/>
      <c r="L188" s="1282">
        <f t="shared" si="36"/>
        <v>0</v>
      </c>
      <c r="M188" s="1338"/>
      <c r="N188" s="1282">
        <f t="shared" si="37"/>
        <v>0</v>
      </c>
      <c r="O188" s="1338"/>
      <c r="P188" s="1282">
        <f t="shared" si="38"/>
        <v>0</v>
      </c>
      <c r="Q188" s="1338"/>
      <c r="R188" s="1282">
        <f t="shared" si="39"/>
        <v>0</v>
      </c>
      <c r="S188" s="1338"/>
      <c r="T188" s="1283">
        <f t="shared" si="40"/>
        <v>0</v>
      </c>
      <c r="U188" s="1284">
        <f t="shared" si="43"/>
        <v>0</v>
      </c>
      <c r="V188" s="1285">
        <f t="shared" si="44"/>
        <v>0</v>
      </c>
    </row>
    <row r="189" spans="2:22" outlineLevel="1">
      <c r="B189" s="1278" t="s">
        <v>1592</v>
      </c>
      <c r="C189" s="1306" t="s">
        <v>835</v>
      </c>
      <c r="D189" s="1286" t="s">
        <v>836</v>
      </c>
      <c r="E189" s="1307" t="s">
        <v>841</v>
      </c>
      <c r="F189" s="1281">
        <v>9237.0500000000011</v>
      </c>
      <c r="G189" s="1338"/>
      <c r="H189" s="1282">
        <f t="shared" si="34"/>
        <v>0</v>
      </c>
      <c r="I189" s="1338"/>
      <c r="J189" s="1282">
        <f t="shared" si="35"/>
        <v>0</v>
      </c>
      <c r="K189" s="1338"/>
      <c r="L189" s="1282">
        <f t="shared" si="36"/>
        <v>0</v>
      </c>
      <c r="M189" s="1338"/>
      <c r="N189" s="1282">
        <f t="shared" si="37"/>
        <v>0</v>
      </c>
      <c r="O189" s="1338"/>
      <c r="P189" s="1282">
        <f t="shared" si="38"/>
        <v>0</v>
      </c>
      <c r="Q189" s="1338"/>
      <c r="R189" s="1282">
        <f t="shared" si="39"/>
        <v>0</v>
      </c>
      <c r="S189" s="1338"/>
      <c r="T189" s="1283">
        <f t="shared" si="40"/>
        <v>0</v>
      </c>
      <c r="U189" s="1284">
        <f t="shared" si="43"/>
        <v>0</v>
      </c>
      <c r="V189" s="1285">
        <f t="shared" si="44"/>
        <v>0</v>
      </c>
    </row>
    <row r="190" spans="2:22" outlineLevel="1">
      <c r="B190" s="1278" t="s">
        <v>1593</v>
      </c>
      <c r="C190" s="1306" t="s">
        <v>835</v>
      </c>
      <c r="D190" s="1286" t="s">
        <v>836</v>
      </c>
      <c r="E190" s="1307" t="s">
        <v>842</v>
      </c>
      <c r="F190" s="1281">
        <v>10734.95</v>
      </c>
      <c r="G190" s="1338"/>
      <c r="H190" s="1282">
        <f t="shared" si="34"/>
        <v>0</v>
      </c>
      <c r="I190" s="1338"/>
      <c r="J190" s="1282">
        <f t="shared" si="35"/>
        <v>0</v>
      </c>
      <c r="K190" s="1338"/>
      <c r="L190" s="1282">
        <f t="shared" si="36"/>
        <v>0</v>
      </c>
      <c r="M190" s="1338"/>
      <c r="N190" s="1282">
        <f t="shared" si="37"/>
        <v>0</v>
      </c>
      <c r="O190" s="1338"/>
      <c r="P190" s="1282">
        <f t="shared" si="38"/>
        <v>0</v>
      </c>
      <c r="Q190" s="1338"/>
      <c r="R190" s="1282">
        <f t="shared" si="39"/>
        <v>0</v>
      </c>
      <c r="S190" s="1338"/>
      <c r="T190" s="1283">
        <f t="shared" si="40"/>
        <v>0</v>
      </c>
      <c r="U190" s="1284">
        <f t="shared" si="43"/>
        <v>0</v>
      </c>
      <c r="V190" s="1285">
        <f t="shared" si="44"/>
        <v>0</v>
      </c>
    </row>
    <row r="191" spans="2:22" outlineLevel="1">
      <c r="B191" s="1278" t="s">
        <v>1594</v>
      </c>
      <c r="C191" s="1306" t="s">
        <v>835</v>
      </c>
      <c r="D191" s="1286" t="s">
        <v>836</v>
      </c>
      <c r="E191" s="1307" t="s">
        <v>843</v>
      </c>
      <c r="F191" s="1281">
        <v>12732.150000000001</v>
      </c>
      <c r="G191" s="1338"/>
      <c r="H191" s="1282">
        <f t="shared" ref="H191:H254" si="45">F191*G191</f>
        <v>0</v>
      </c>
      <c r="I191" s="1338"/>
      <c r="J191" s="1282">
        <f t="shared" si="35"/>
        <v>0</v>
      </c>
      <c r="K191" s="1338"/>
      <c r="L191" s="1282">
        <f t="shared" si="36"/>
        <v>0</v>
      </c>
      <c r="M191" s="1338"/>
      <c r="N191" s="1282">
        <f t="shared" si="37"/>
        <v>0</v>
      </c>
      <c r="O191" s="1338"/>
      <c r="P191" s="1282">
        <f t="shared" si="38"/>
        <v>0</v>
      </c>
      <c r="Q191" s="1338"/>
      <c r="R191" s="1282">
        <f t="shared" si="39"/>
        <v>0</v>
      </c>
      <c r="S191" s="1338"/>
      <c r="T191" s="1283">
        <f t="shared" si="40"/>
        <v>0</v>
      </c>
      <c r="U191" s="1284">
        <f t="shared" si="43"/>
        <v>0</v>
      </c>
      <c r="V191" s="1285">
        <f t="shared" si="44"/>
        <v>0</v>
      </c>
    </row>
    <row r="192" spans="2:22" outlineLevel="1">
      <c r="B192" s="1278" t="s">
        <v>1595</v>
      </c>
      <c r="C192" s="1306" t="s">
        <v>835</v>
      </c>
      <c r="D192" s="1286" t="s">
        <v>836</v>
      </c>
      <c r="E192" s="1307" t="s">
        <v>844</v>
      </c>
      <c r="F192" s="1281">
        <v>14729.35</v>
      </c>
      <c r="G192" s="1338"/>
      <c r="H192" s="1282">
        <f t="shared" si="45"/>
        <v>0</v>
      </c>
      <c r="I192" s="1338"/>
      <c r="J192" s="1282">
        <f t="shared" ref="J192:J255" si="46">F192*I192</f>
        <v>0</v>
      </c>
      <c r="K192" s="1338"/>
      <c r="L192" s="1282">
        <f t="shared" ref="L192:L255" si="47">F192*K192</f>
        <v>0</v>
      </c>
      <c r="M192" s="1338"/>
      <c r="N192" s="1282">
        <f t="shared" ref="N192:N255" si="48">F192*M192</f>
        <v>0</v>
      </c>
      <c r="O192" s="1338"/>
      <c r="P192" s="1282">
        <f t="shared" ref="P192:P255" si="49">F192*O192</f>
        <v>0</v>
      </c>
      <c r="Q192" s="1338"/>
      <c r="R192" s="1282">
        <f t="shared" ref="R192:R255" si="50">F192*Q192</f>
        <v>0</v>
      </c>
      <c r="S192" s="1338"/>
      <c r="T192" s="1283">
        <f t="shared" ref="T192:T255" si="51">F192*S192</f>
        <v>0</v>
      </c>
      <c r="U192" s="1284">
        <f t="shared" si="43"/>
        <v>0</v>
      </c>
      <c r="V192" s="1285">
        <f t="shared" si="44"/>
        <v>0</v>
      </c>
    </row>
    <row r="193" spans="2:22" ht="12.75" customHeight="1">
      <c r="B193" s="1292" t="s">
        <v>2009</v>
      </c>
      <c r="C193" s="1271" t="s">
        <v>845</v>
      </c>
      <c r="D193" s="1271"/>
      <c r="E193" s="1272"/>
      <c r="F193" s="1302"/>
      <c r="G193" s="1339"/>
      <c r="H193" s="1296"/>
      <c r="I193" s="1339"/>
      <c r="J193" s="1296"/>
      <c r="K193" s="1339"/>
      <c r="L193" s="1296"/>
      <c r="M193" s="1339"/>
      <c r="N193" s="1296"/>
      <c r="O193" s="1339"/>
      <c r="P193" s="1296"/>
      <c r="Q193" s="1339"/>
      <c r="R193" s="1296"/>
      <c r="S193" s="1339"/>
      <c r="T193" s="1296"/>
      <c r="U193" s="1297"/>
      <c r="V193" s="1298"/>
    </row>
    <row r="194" spans="2:22" outlineLevel="1">
      <c r="B194" s="1278" t="s">
        <v>1596</v>
      </c>
      <c r="C194" s="1299" t="s">
        <v>845</v>
      </c>
      <c r="D194" s="1286" t="s">
        <v>846</v>
      </c>
      <c r="E194" s="1308" t="s">
        <v>847</v>
      </c>
      <c r="F194" s="1281">
        <v>1007.9</v>
      </c>
      <c r="G194" s="1338"/>
      <c r="H194" s="1282">
        <f t="shared" si="45"/>
        <v>0</v>
      </c>
      <c r="I194" s="1338"/>
      <c r="J194" s="1282">
        <f t="shared" si="46"/>
        <v>0</v>
      </c>
      <c r="K194" s="1338"/>
      <c r="L194" s="1282">
        <f t="shared" si="47"/>
        <v>0</v>
      </c>
      <c r="M194" s="1338"/>
      <c r="N194" s="1282">
        <f t="shared" si="48"/>
        <v>0</v>
      </c>
      <c r="O194" s="1338"/>
      <c r="P194" s="1282">
        <f t="shared" si="49"/>
        <v>0</v>
      </c>
      <c r="Q194" s="1338"/>
      <c r="R194" s="1282">
        <f t="shared" si="50"/>
        <v>0</v>
      </c>
      <c r="S194" s="1338"/>
      <c r="T194" s="1283">
        <f t="shared" si="51"/>
        <v>0</v>
      </c>
      <c r="U194" s="1284">
        <f t="shared" si="43"/>
        <v>0</v>
      </c>
      <c r="V194" s="1285">
        <f t="shared" si="44"/>
        <v>0</v>
      </c>
    </row>
    <row r="195" spans="2:22" outlineLevel="1">
      <c r="B195" s="1278" t="s">
        <v>1597</v>
      </c>
      <c r="C195" s="1299" t="s">
        <v>845</v>
      </c>
      <c r="D195" s="1286" t="s">
        <v>846</v>
      </c>
      <c r="E195" s="1308" t="s">
        <v>848</v>
      </c>
      <c r="F195" s="1281">
        <v>1511.85</v>
      </c>
      <c r="G195" s="1338"/>
      <c r="H195" s="1282">
        <f t="shared" si="45"/>
        <v>0</v>
      </c>
      <c r="I195" s="1338"/>
      <c r="J195" s="1282">
        <f t="shared" si="46"/>
        <v>0</v>
      </c>
      <c r="K195" s="1338"/>
      <c r="L195" s="1282">
        <f t="shared" si="47"/>
        <v>0</v>
      </c>
      <c r="M195" s="1338"/>
      <c r="N195" s="1282">
        <f t="shared" si="48"/>
        <v>0</v>
      </c>
      <c r="O195" s="1338"/>
      <c r="P195" s="1282">
        <f t="shared" si="49"/>
        <v>0</v>
      </c>
      <c r="Q195" s="1338"/>
      <c r="R195" s="1282">
        <f t="shared" si="50"/>
        <v>0</v>
      </c>
      <c r="S195" s="1338"/>
      <c r="T195" s="1283">
        <f t="shared" si="51"/>
        <v>0</v>
      </c>
      <c r="U195" s="1284">
        <f t="shared" si="43"/>
        <v>0</v>
      </c>
      <c r="V195" s="1285">
        <f t="shared" si="44"/>
        <v>0</v>
      </c>
    </row>
    <row r="196" spans="2:22" outlineLevel="1">
      <c r="B196" s="1278" t="s">
        <v>1598</v>
      </c>
      <c r="C196" s="1299" t="s">
        <v>845</v>
      </c>
      <c r="D196" s="1286" t="s">
        <v>846</v>
      </c>
      <c r="E196" s="1308" t="s">
        <v>849</v>
      </c>
      <c r="F196" s="1281">
        <v>2015.8</v>
      </c>
      <c r="G196" s="1338"/>
      <c r="H196" s="1282">
        <f t="shared" si="45"/>
        <v>0</v>
      </c>
      <c r="I196" s="1338"/>
      <c r="J196" s="1282">
        <f t="shared" si="46"/>
        <v>0</v>
      </c>
      <c r="K196" s="1338"/>
      <c r="L196" s="1282">
        <f t="shared" si="47"/>
        <v>0</v>
      </c>
      <c r="M196" s="1338"/>
      <c r="N196" s="1282">
        <f t="shared" si="48"/>
        <v>0</v>
      </c>
      <c r="O196" s="1338"/>
      <c r="P196" s="1282">
        <f t="shared" si="49"/>
        <v>0</v>
      </c>
      <c r="Q196" s="1338"/>
      <c r="R196" s="1282">
        <f t="shared" si="50"/>
        <v>0</v>
      </c>
      <c r="S196" s="1338"/>
      <c r="T196" s="1283">
        <f t="shared" si="51"/>
        <v>0</v>
      </c>
      <c r="U196" s="1284">
        <f t="shared" si="43"/>
        <v>0</v>
      </c>
      <c r="V196" s="1285">
        <f t="shared" si="44"/>
        <v>0</v>
      </c>
    </row>
    <row r="197" spans="2:22" outlineLevel="1">
      <c r="B197" s="1278" t="s">
        <v>1599</v>
      </c>
      <c r="C197" s="1299" t="s">
        <v>845</v>
      </c>
      <c r="D197" s="1286" t="s">
        <v>846</v>
      </c>
      <c r="E197" s="1308" t="s">
        <v>850</v>
      </c>
      <c r="F197" s="1281">
        <v>2519.75</v>
      </c>
      <c r="G197" s="1338"/>
      <c r="H197" s="1282">
        <f t="shared" si="45"/>
        <v>0</v>
      </c>
      <c r="I197" s="1338"/>
      <c r="J197" s="1282">
        <f t="shared" si="46"/>
        <v>0</v>
      </c>
      <c r="K197" s="1338"/>
      <c r="L197" s="1282">
        <f t="shared" si="47"/>
        <v>0</v>
      </c>
      <c r="M197" s="1338"/>
      <c r="N197" s="1282">
        <f t="shared" si="48"/>
        <v>0</v>
      </c>
      <c r="O197" s="1338"/>
      <c r="P197" s="1282">
        <f t="shared" si="49"/>
        <v>0</v>
      </c>
      <c r="Q197" s="1338"/>
      <c r="R197" s="1282">
        <f t="shared" si="50"/>
        <v>0</v>
      </c>
      <c r="S197" s="1338"/>
      <c r="T197" s="1283">
        <f t="shared" si="51"/>
        <v>0</v>
      </c>
      <c r="U197" s="1284">
        <f t="shared" si="43"/>
        <v>0</v>
      </c>
      <c r="V197" s="1285">
        <f t="shared" si="44"/>
        <v>0</v>
      </c>
    </row>
    <row r="198" spans="2:22" outlineLevel="1">
      <c r="B198" s="1278" t="s">
        <v>1600</v>
      </c>
      <c r="C198" s="1299" t="s">
        <v>845</v>
      </c>
      <c r="D198" s="1286" t="s">
        <v>846</v>
      </c>
      <c r="E198" s="1308" t="s">
        <v>851</v>
      </c>
      <c r="F198" s="1281">
        <v>3023.7</v>
      </c>
      <c r="G198" s="1338"/>
      <c r="H198" s="1282">
        <f t="shared" si="45"/>
        <v>0</v>
      </c>
      <c r="I198" s="1338"/>
      <c r="J198" s="1282">
        <f t="shared" si="46"/>
        <v>0</v>
      </c>
      <c r="K198" s="1338"/>
      <c r="L198" s="1282">
        <f t="shared" si="47"/>
        <v>0</v>
      </c>
      <c r="M198" s="1338"/>
      <c r="N198" s="1282">
        <f t="shared" si="48"/>
        <v>0</v>
      </c>
      <c r="O198" s="1338"/>
      <c r="P198" s="1282">
        <f t="shared" si="49"/>
        <v>0</v>
      </c>
      <c r="Q198" s="1338"/>
      <c r="R198" s="1282">
        <f t="shared" si="50"/>
        <v>0</v>
      </c>
      <c r="S198" s="1338"/>
      <c r="T198" s="1283">
        <f t="shared" si="51"/>
        <v>0</v>
      </c>
      <c r="U198" s="1284">
        <f t="shared" si="43"/>
        <v>0</v>
      </c>
      <c r="V198" s="1285">
        <f t="shared" si="44"/>
        <v>0</v>
      </c>
    </row>
    <row r="199" spans="2:22" outlineLevel="1">
      <c r="B199" s="1278" t="s">
        <v>1601</v>
      </c>
      <c r="C199" s="1299" t="s">
        <v>845</v>
      </c>
      <c r="D199" s="1286" t="s">
        <v>846</v>
      </c>
      <c r="E199" s="1308" t="s">
        <v>852</v>
      </c>
      <c r="F199" s="1281">
        <v>3527.65</v>
      </c>
      <c r="G199" s="1338"/>
      <c r="H199" s="1282">
        <f t="shared" si="45"/>
        <v>0</v>
      </c>
      <c r="I199" s="1338"/>
      <c r="J199" s="1282">
        <f t="shared" si="46"/>
        <v>0</v>
      </c>
      <c r="K199" s="1338"/>
      <c r="L199" s="1282">
        <f t="shared" si="47"/>
        <v>0</v>
      </c>
      <c r="M199" s="1338"/>
      <c r="N199" s="1282">
        <f t="shared" si="48"/>
        <v>0</v>
      </c>
      <c r="O199" s="1338"/>
      <c r="P199" s="1282">
        <f t="shared" si="49"/>
        <v>0</v>
      </c>
      <c r="Q199" s="1338"/>
      <c r="R199" s="1282">
        <f t="shared" si="50"/>
        <v>0</v>
      </c>
      <c r="S199" s="1338"/>
      <c r="T199" s="1283">
        <f t="shared" si="51"/>
        <v>0</v>
      </c>
      <c r="U199" s="1284">
        <f t="shared" si="43"/>
        <v>0</v>
      </c>
      <c r="V199" s="1285">
        <f t="shared" si="44"/>
        <v>0</v>
      </c>
    </row>
    <row r="200" spans="2:22" outlineLevel="1">
      <c r="B200" s="1278" t="s">
        <v>1602</v>
      </c>
      <c r="C200" s="1299" t="s">
        <v>845</v>
      </c>
      <c r="D200" s="1286" t="s">
        <v>846</v>
      </c>
      <c r="E200" s="1308" t="s">
        <v>853</v>
      </c>
      <c r="F200" s="1281">
        <v>4031.6</v>
      </c>
      <c r="G200" s="1338"/>
      <c r="H200" s="1282">
        <f t="shared" si="45"/>
        <v>0</v>
      </c>
      <c r="I200" s="1338"/>
      <c r="J200" s="1282">
        <f t="shared" si="46"/>
        <v>0</v>
      </c>
      <c r="K200" s="1338"/>
      <c r="L200" s="1282">
        <f t="shared" si="47"/>
        <v>0</v>
      </c>
      <c r="M200" s="1338"/>
      <c r="N200" s="1282">
        <f t="shared" si="48"/>
        <v>0</v>
      </c>
      <c r="O200" s="1338"/>
      <c r="P200" s="1282">
        <f t="shared" si="49"/>
        <v>0</v>
      </c>
      <c r="Q200" s="1338"/>
      <c r="R200" s="1282">
        <f t="shared" si="50"/>
        <v>0</v>
      </c>
      <c r="S200" s="1338"/>
      <c r="T200" s="1283">
        <f t="shared" si="51"/>
        <v>0</v>
      </c>
      <c r="U200" s="1284">
        <f t="shared" si="43"/>
        <v>0</v>
      </c>
      <c r="V200" s="1285">
        <f t="shared" si="44"/>
        <v>0</v>
      </c>
    </row>
    <row r="201" spans="2:22" outlineLevel="1">
      <c r="B201" s="1278" t="s">
        <v>1603</v>
      </c>
      <c r="C201" s="1299" t="s">
        <v>845</v>
      </c>
      <c r="D201" s="1286" t="s">
        <v>846</v>
      </c>
      <c r="E201" s="1308" t="s">
        <v>854</v>
      </c>
      <c r="F201" s="1281">
        <v>4535.55</v>
      </c>
      <c r="G201" s="1338"/>
      <c r="H201" s="1282">
        <f t="shared" si="45"/>
        <v>0</v>
      </c>
      <c r="I201" s="1338"/>
      <c r="J201" s="1282">
        <f t="shared" si="46"/>
        <v>0</v>
      </c>
      <c r="K201" s="1338"/>
      <c r="L201" s="1282">
        <f t="shared" si="47"/>
        <v>0</v>
      </c>
      <c r="M201" s="1338"/>
      <c r="N201" s="1282">
        <f t="shared" si="48"/>
        <v>0</v>
      </c>
      <c r="O201" s="1338"/>
      <c r="P201" s="1282">
        <f t="shared" si="49"/>
        <v>0</v>
      </c>
      <c r="Q201" s="1338"/>
      <c r="R201" s="1282">
        <f t="shared" si="50"/>
        <v>0</v>
      </c>
      <c r="S201" s="1338"/>
      <c r="T201" s="1283">
        <f t="shared" si="51"/>
        <v>0</v>
      </c>
      <c r="U201" s="1284">
        <f t="shared" si="43"/>
        <v>0</v>
      </c>
      <c r="V201" s="1285">
        <f t="shared" si="44"/>
        <v>0</v>
      </c>
    </row>
    <row r="202" spans="2:22" outlineLevel="1">
      <c r="B202" s="1278" t="s">
        <v>1604</v>
      </c>
      <c r="C202" s="1299" t="s">
        <v>845</v>
      </c>
      <c r="D202" s="1286" t="s">
        <v>846</v>
      </c>
      <c r="E202" s="1308" t="s">
        <v>855</v>
      </c>
      <c r="F202" s="1281">
        <v>5039.5</v>
      </c>
      <c r="G202" s="1338"/>
      <c r="H202" s="1282">
        <f t="shared" si="45"/>
        <v>0</v>
      </c>
      <c r="I202" s="1338"/>
      <c r="J202" s="1282">
        <f t="shared" si="46"/>
        <v>0</v>
      </c>
      <c r="K202" s="1338"/>
      <c r="L202" s="1282">
        <f t="shared" si="47"/>
        <v>0</v>
      </c>
      <c r="M202" s="1338"/>
      <c r="N202" s="1282">
        <f t="shared" si="48"/>
        <v>0</v>
      </c>
      <c r="O202" s="1338"/>
      <c r="P202" s="1282">
        <f t="shared" si="49"/>
        <v>0</v>
      </c>
      <c r="Q202" s="1338"/>
      <c r="R202" s="1282">
        <f t="shared" si="50"/>
        <v>0</v>
      </c>
      <c r="S202" s="1338"/>
      <c r="T202" s="1283">
        <f t="shared" si="51"/>
        <v>0</v>
      </c>
      <c r="U202" s="1284">
        <f t="shared" si="43"/>
        <v>0</v>
      </c>
      <c r="V202" s="1285">
        <f t="shared" si="44"/>
        <v>0</v>
      </c>
    </row>
    <row r="203" spans="2:22" outlineLevel="1">
      <c r="B203" s="1278" t="s">
        <v>1605</v>
      </c>
      <c r="C203" s="1299" t="s">
        <v>845</v>
      </c>
      <c r="D203" s="1286" t="s">
        <v>846</v>
      </c>
      <c r="E203" s="1308" t="s">
        <v>856</v>
      </c>
      <c r="F203" s="1281">
        <v>5543.45</v>
      </c>
      <c r="G203" s="1338"/>
      <c r="H203" s="1282">
        <f t="shared" si="45"/>
        <v>0</v>
      </c>
      <c r="I203" s="1338"/>
      <c r="J203" s="1282">
        <f t="shared" si="46"/>
        <v>0</v>
      </c>
      <c r="K203" s="1338"/>
      <c r="L203" s="1282">
        <f t="shared" si="47"/>
        <v>0</v>
      </c>
      <c r="M203" s="1338"/>
      <c r="N203" s="1282">
        <f t="shared" si="48"/>
        <v>0</v>
      </c>
      <c r="O203" s="1338"/>
      <c r="P203" s="1282">
        <f t="shared" si="49"/>
        <v>0</v>
      </c>
      <c r="Q203" s="1338"/>
      <c r="R203" s="1282">
        <f t="shared" si="50"/>
        <v>0</v>
      </c>
      <c r="S203" s="1338"/>
      <c r="T203" s="1283">
        <f t="shared" si="51"/>
        <v>0</v>
      </c>
      <c r="U203" s="1284">
        <f t="shared" si="43"/>
        <v>0</v>
      </c>
      <c r="V203" s="1285">
        <f t="shared" si="44"/>
        <v>0</v>
      </c>
    </row>
    <row r="204" spans="2:22" outlineLevel="1">
      <c r="B204" s="1278" t="s">
        <v>1606</v>
      </c>
      <c r="C204" s="1299" t="s">
        <v>845</v>
      </c>
      <c r="D204" s="1286" t="s">
        <v>846</v>
      </c>
      <c r="E204" s="1308" t="s">
        <v>857</v>
      </c>
      <c r="F204" s="1281">
        <v>6299.38</v>
      </c>
      <c r="G204" s="1338"/>
      <c r="H204" s="1282">
        <f t="shared" si="45"/>
        <v>0</v>
      </c>
      <c r="I204" s="1338"/>
      <c r="J204" s="1282">
        <f t="shared" si="46"/>
        <v>0</v>
      </c>
      <c r="K204" s="1338"/>
      <c r="L204" s="1282">
        <f t="shared" si="47"/>
        <v>0</v>
      </c>
      <c r="M204" s="1338"/>
      <c r="N204" s="1282">
        <f t="shared" si="48"/>
        <v>0</v>
      </c>
      <c r="O204" s="1338"/>
      <c r="P204" s="1282">
        <f t="shared" si="49"/>
        <v>0</v>
      </c>
      <c r="Q204" s="1338"/>
      <c r="R204" s="1282">
        <f t="shared" si="50"/>
        <v>0</v>
      </c>
      <c r="S204" s="1338"/>
      <c r="T204" s="1283">
        <f t="shared" si="51"/>
        <v>0</v>
      </c>
      <c r="U204" s="1284">
        <f t="shared" si="43"/>
        <v>0</v>
      </c>
      <c r="V204" s="1285">
        <f t="shared" si="44"/>
        <v>0</v>
      </c>
    </row>
    <row r="205" spans="2:22" outlineLevel="1">
      <c r="B205" s="1278" t="s">
        <v>1607</v>
      </c>
      <c r="C205" s="1299" t="s">
        <v>845</v>
      </c>
      <c r="D205" s="1286" t="s">
        <v>846</v>
      </c>
      <c r="E205" s="1308" t="s">
        <v>858</v>
      </c>
      <c r="F205" s="1281">
        <v>7307.28</v>
      </c>
      <c r="G205" s="1338"/>
      <c r="H205" s="1282">
        <f t="shared" si="45"/>
        <v>0</v>
      </c>
      <c r="I205" s="1338"/>
      <c r="J205" s="1282">
        <f t="shared" si="46"/>
        <v>0</v>
      </c>
      <c r="K205" s="1338"/>
      <c r="L205" s="1282">
        <f t="shared" si="47"/>
        <v>0</v>
      </c>
      <c r="M205" s="1338"/>
      <c r="N205" s="1282">
        <f t="shared" si="48"/>
        <v>0</v>
      </c>
      <c r="O205" s="1338"/>
      <c r="P205" s="1282">
        <f t="shared" si="49"/>
        <v>0</v>
      </c>
      <c r="Q205" s="1338"/>
      <c r="R205" s="1282">
        <f t="shared" si="50"/>
        <v>0</v>
      </c>
      <c r="S205" s="1338"/>
      <c r="T205" s="1283">
        <f t="shared" si="51"/>
        <v>0</v>
      </c>
      <c r="U205" s="1284">
        <f t="shared" si="43"/>
        <v>0</v>
      </c>
      <c r="V205" s="1285">
        <f t="shared" si="44"/>
        <v>0</v>
      </c>
    </row>
    <row r="206" spans="2:22" outlineLevel="1">
      <c r="B206" s="1278" t="s">
        <v>1608</v>
      </c>
      <c r="C206" s="1299" t="s">
        <v>845</v>
      </c>
      <c r="D206" s="1286" t="s">
        <v>846</v>
      </c>
      <c r="E206" s="1308" t="s">
        <v>859</v>
      </c>
      <c r="F206" s="1281">
        <v>8315.18</v>
      </c>
      <c r="G206" s="1338"/>
      <c r="H206" s="1282">
        <f t="shared" si="45"/>
        <v>0</v>
      </c>
      <c r="I206" s="1338"/>
      <c r="J206" s="1282">
        <f t="shared" si="46"/>
        <v>0</v>
      </c>
      <c r="K206" s="1338"/>
      <c r="L206" s="1282">
        <f t="shared" si="47"/>
        <v>0</v>
      </c>
      <c r="M206" s="1338"/>
      <c r="N206" s="1282">
        <f t="shared" si="48"/>
        <v>0</v>
      </c>
      <c r="O206" s="1338"/>
      <c r="P206" s="1282">
        <f t="shared" si="49"/>
        <v>0</v>
      </c>
      <c r="Q206" s="1338"/>
      <c r="R206" s="1282">
        <f t="shared" si="50"/>
        <v>0</v>
      </c>
      <c r="S206" s="1338"/>
      <c r="T206" s="1283">
        <f t="shared" si="51"/>
        <v>0</v>
      </c>
      <c r="U206" s="1284">
        <f t="shared" si="43"/>
        <v>0</v>
      </c>
      <c r="V206" s="1285">
        <f t="shared" si="44"/>
        <v>0</v>
      </c>
    </row>
    <row r="207" spans="2:22" outlineLevel="1">
      <c r="B207" s="1278" t="s">
        <v>1609</v>
      </c>
      <c r="C207" s="1299" t="s">
        <v>845</v>
      </c>
      <c r="D207" s="1286" t="s">
        <v>846</v>
      </c>
      <c r="E207" s="1308" t="s">
        <v>860</v>
      </c>
      <c r="F207" s="1281">
        <v>9323.08</v>
      </c>
      <c r="G207" s="1338"/>
      <c r="H207" s="1282">
        <f t="shared" si="45"/>
        <v>0</v>
      </c>
      <c r="I207" s="1338"/>
      <c r="J207" s="1282">
        <f t="shared" si="46"/>
        <v>0</v>
      </c>
      <c r="K207" s="1338"/>
      <c r="L207" s="1282">
        <f t="shared" si="47"/>
        <v>0</v>
      </c>
      <c r="M207" s="1338"/>
      <c r="N207" s="1282">
        <f t="shared" si="48"/>
        <v>0</v>
      </c>
      <c r="O207" s="1338"/>
      <c r="P207" s="1282">
        <f t="shared" si="49"/>
        <v>0</v>
      </c>
      <c r="Q207" s="1338"/>
      <c r="R207" s="1282">
        <f t="shared" si="50"/>
        <v>0</v>
      </c>
      <c r="S207" s="1338"/>
      <c r="T207" s="1283">
        <f t="shared" si="51"/>
        <v>0</v>
      </c>
      <c r="U207" s="1284">
        <f t="shared" si="43"/>
        <v>0</v>
      </c>
      <c r="V207" s="1285">
        <f t="shared" si="44"/>
        <v>0</v>
      </c>
    </row>
    <row r="208" spans="2:22" outlineLevel="1">
      <c r="B208" s="1278" t="s">
        <v>1610</v>
      </c>
      <c r="C208" s="1299" t="s">
        <v>845</v>
      </c>
      <c r="D208" s="1286" t="s">
        <v>846</v>
      </c>
      <c r="E208" s="1308" t="s">
        <v>861</v>
      </c>
      <c r="F208" s="1281">
        <v>10330.98</v>
      </c>
      <c r="G208" s="1338"/>
      <c r="H208" s="1282">
        <f t="shared" si="45"/>
        <v>0</v>
      </c>
      <c r="I208" s="1338"/>
      <c r="J208" s="1282">
        <f t="shared" si="46"/>
        <v>0</v>
      </c>
      <c r="K208" s="1338"/>
      <c r="L208" s="1282">
        <f t="shared" si="47"/>
        <v>0</v>
      </c>
      <c r="M208" s="1338"/>
      <c r="N208" s="1282">
        <f t="shared" si="48"/>
        <v>0</v>
      </c>
      <c r="O208" s="1338"/>
      <c r="P208" s="1282">
        <f t="shared" si="49"/>
        <v>0</v>
      </c>
      <c r="Q208" s="1338"/>
      <c r="R208" s="1282">
        <f t="shared" si="50"/>
        <v>0</v>
      </c>
      <c r="S208" s="1338"/>
      <c r="T208" s="1283">
        <f t="shared" si="51"/>
        <v>0</v>
      </c>
      <c r="U208" s="1284">
        <f t="shared" si="43"/>
        <v>0</v>
      </c>
      <c r="V208" s="1285">
        <f t="shared" si="44"/>
        <v>0</v>
      </c>
    </row>
    <row r="209" spans="2:22" outlineLevel="1">
      <c r="B209" s="1278" t="s">
        <v>1611</v>
      </c>
      <c r="C209" s="1299" t="s">
        <v>845</v>
      </c>
      <c r="D209" s="1286" t="s">
        <v>846</v>
      </c>
      <c r="E209" s="1308" t="s">
        <v>862</v>
      </c>
      <c r="F209" s="1281">
        <v>11338.88</v>
      </c>
      <c r="G209" s="1338"/>
      <c r="H209" s="1282">
        <f t="shared" si="45"/>
        <v>0</v>
      </c>
      <c r="I209" s="1338"/>
      <c r="J209" s="1282">
        <f t="shared" si="46"/>
        <v>0</v>
      </c>
      <c r="K209" s="1338"/>
      <c r="L209" s="1282">
        <f t="shared" si="47"/>
        <v>0</v>
      </c>
      <c r="M209" s="1338"/>
      <c r="N209" s="1282">
        <f t="shared" si="48"/>
        <v>0</v>
      </c>
      <c r="O209" s="1338"/>
      <c r="P209" s="1282">
        <f t="shared" si="49"/>
        <v>0</v>
      </c>
      <c r="Q209" s="1338"/>
      <c r="R209" s="1282">
        <f t="shared" si="50"/>
        <v>0</v>
      </c>
      <c r="S209" s="1338"/>
      <c r="T209" s="1283">
        <f t="shared" si="51"/>
        <v>0</v>
      </c>
      <c r="U209" s="1284">
        <f t="shared" si="43"/>
        <v>0</v>
      </c>
      <c r="V209" s="1285">
        <f t="shared" si="44"/>
        <v>0</v>
      </c>
    </row>
    <row r="210" spans="2:22" outlineLevel="1">
      <c r="B210" s="1278" t="s">
        <v>1612</v>
      </c>
      <c r="C210" s="1299" t="s">
        <v>845</v>
      </c>
      <c r="D210" s="1286" t="s">
        <v>846</v>
      </c>
      <c r="E210" s="1308" t="s">
        <v>863</v>
      </c>
      <c r="F210" s="1281">
        <v>12346.78</v>
      </c>
      <c r="G210" s="1338"/>
      <c r="H210" s="1282">
        <f t="shared" si="45"/>
        <v>0</v>
      </c>
      <c r="I210" s="1338"/>
      <c r="J210" s="1282">
        <f t="shared" si="46"/>
        <v>0</v>
      </c>
      <c r="K210" s="1338"/>
      <c r="L210" s="1282">
        <f t="shared" si="47"/>
        <v>0</v>
      </c>
      <c r="M210" s="1338"/>
      <c r="N210" s="1282">
        <f t="shared" si="48"/>
        <v>0</v>
      </c>
      <c r="O210" s="1338"/>
      <c r="P210" s="1282">
        <f t="shared" si="49"/>
        <v>0</v>
      </c>
      <c r="Q210" s="1338"/>
      <c r="R210" s="1282">
        <f t="shared" si="50"/>
        <v>0</v>
      </c>
      <c r="S210" s="1338"/>
      <c r="T210" s="1283">
        <f t="shared" si="51"/>
        <v>0</v>
      </c>
      <c r="U210" s="1284">
        <f t="shared" si="43"/>
        <v>0</v>
      </c>
      <c r="V210" s="1285">
        <f t="shared" si="44"/>
        <v>0</v>
      </c>
    </row>
    <row r="211" spans="2:22" outlineLevel="1">
      <c r="B211" s="1278" t="s">
        <v>1613</v>
      </c>
      <c r="C211" s="1299" t="s">
        <v>845</v>
      </c>
      <c r="D211" s="1286" t="s">
        <v>846</v>
      </c>
      <c r="E211" s="1308" t="s">
        <v>864</v>
      </c>
      <c r="F211" s="1281">
        <v>13354.68</v>
      </c>
      <c r="G211" s="1338"/>
      <c r="H211" s="1282">
        <f t="shared" si="45"/>
        <v>0</v>
      </c>
      <c r="I211" s="1338"/>
      <c r="J211" s="1282">
        <f t="shared" si="46"/>
        <v>0</v>
      </c>
      <c r="K211" s="1338"/>
      <c r="L211" s="1282">
        <f t="shared" si="47"/>
        <v>0</v>
      </c>
      <c r="M211" s="1338"/>
      <c r="N211" s="1282">
        <f t="shared" si="48"/>
        <v>0</v>
      </c>
      <c r="O211" s="1338"/>
      <c r="P211" s="1282">
        <f t="shared" si="49"/>
        <v>0</v>
      </c>
      <c r="Q211" s="1338"/>
      <c r="R211" s="1282">
        <f t="shared" si="50"/>
        <v>0</v>
      </c>
      <c r="S211" s="1338"/>
      <c r="T211" s="1283">
        <f t="shared" si="51"/>
        <v>0</v>
      </c>
      <c r="U211" s="1284">
        <f t="shared" si="43"/>
        <v>0</v>
      </c>
      <c r="V211" s="1285">
        <f t="shared" si="44"/>
        <v>0</v>
      </c>
    </row>
    <row r="212" spans="2:22" outlineLevel="1">
      <c r="B212" s="1278" t="s">
        <v>1614</v>
      </c>
      <c r="C212" s="1299" t="s">
        <v>845</v>
      </c>
      <c r="D212" s="1286" t="s">
        <v>846</v>
      </c>
      <c r="E212" s="1308" t="s">
        <v>865</v>
      </c>
      <c r="F212" s="1281">
        <v>14362.58</v>
      </c>
      <c r="G212" s="1338"/>
      <c r="H212" s="1282">
        <f t="shared" si="45"/>
        <v>0</v>
      </c>
      <c r="I212" s="1338"/>
      <c r="J212" s="1282">
        <f t="shared" si="46"/>
        <v>0</v>
      </c>
      <c r="K212" s="1338"/>
      <c r="L212" s="1282">
        <f t="shared" si="47"/>
        <v>0</v>
      </c>
      <c r="M212" s="1338"/>
      <c r="N212" s="1282">
        <f t="shared" si="48"/>
        <v>0</v>
      </c>
      <c r="O212" s="1338"/>
      <c r="P212" s="1282">
        <f t="shared" si="49"/>
        <v>0</v>
      </c>
      <c r="Q212" s="1338"/>
      <c r="R212" s="1282">
        <f t="shared" si="50"/>
        <v>0</v>
      </c>
      <c r="S212" s="1338"/>
      <c r="T212" s="1283">
        <f t="shared" si="51"/>
        <v>0</v>
      </c>
      <c r="U212" s="1284">
        <f t="shared" si="43"/>
        <v>0</v>
      </c>
      <c r="V212" s="1285">
        <f t="shared" si="44"/>
        <v>0</v>
      </c>
    </row>
    <row r="213" spans="2:22" outlineLevel="1">
      <c r="B213" s="1278" t="s">
        <v>1615</v>
      </c>
      <c r="C213" s="1299" t="s">
        <v>845</v>
      </c>
      <c r="D213" s="1286" t="s">
        <v>846</v>
      </c>
      <c r="E213" s="1308" t="s">
        <v>866</v>
      </c>
      <c r="F213" s="1281">
        <v>15370.48</v>
      </c>
      <c r="G213" s="1338"/>
      <c r="H213" s="1282">
        <f t="shared" si="45"/>
        <v>0</v>
      </c>
      <c r="I213" s="1338"/>
      <c r="J213" s="1282">
        <f t="shared" si="46"/>
        <v>0</v>
      </c>
      <c r="K213" s="1338"/>
      <c r="L213" s="1282">
        <f t="shared" si="47"/>
        <v>0</v>
      </c>
      <c r="M213" s="1338"/>
      <c r="N213" s="1282">
        <f t="shared" si="48"/>
        <v>0</v>
      </c>
      <c r="O213" s="1338"/>
      <c r="P213" s="1282">
        <f t="shared" si="49"/>
        <v>0</v>
      </c>
      <c r="Q213" s="1338"/>
      <c r="R213" s="1282">
        <f t="shared" si="50"/>
        <v>0</v>
      </c>
      <c r="S213" s="1338"/>
      <c r="T213" s="1283">
        <f t="shared" si="51"/>
        <v>0</v>
      </c>
      <c r="U213" s="1284">
        <f t="shared" si="43"/>
        <v>0</v>
      </c>
      <c r="V213" s="1285">
        <f t="shared" si="44"/>
        <v>0</v>
      </c>
    </row>
    <row r="214" spans="2:22" ht="12.75" customHeight="1">
      <c r="B214" s="1270" t="s">
        <v>2010</v>
      </c>
      <c r="C214" s="1271" t="s">
        <v>867</v>
      </c>
      <c r="D214" s="1271"/>
      <c r="E214" s="1272"/>
      <c r="F214" s="1302"/>
      <c r="G214" s="1339"/>
      <c r="H214" s="1296"/>
      <c r="I214" s="1339"/>
      <c r="J214" s="1296"/>
      <c r="K214" s="1339"/>
      <c r="L214" s="1296"/>
      <c r="M214" s="1339"/>
      <c r="N214" s="1296"/>
      <c r="O214" s="1339"/>
      <c r="P214" s="1296"/>
      <c r="Q214" s="1339"/>
      <c r="R214" s="1296"/>
      <c r="S214" s="1339"/>
      <c r="T214" s="1296"/>
      <c r="U214" s="1297"/>
      <c r="V214" s="1298"/>
    </row>
    <row r="215" spans="2:22" outlineLevel="1">
      <c r="B215" s="1278" t="s">
        <v>1616</v>
      </c>
      <c r="C215" s="1299" t="s">
        <v>867</v>
      </c>
      <c r="D215" s="1280" t="s">
        <v>868</v>
      </c>
      <c r="E215" s="1309" t="s">
        <v>869</v>
      </c>
      <c r="F215" s="1281">
        <v>672.85</v>
      </c>
      <c r="G215" s="1338"/>
      <c r="H215" s="1282">
        <f t="shared" si="45"/>
        <v>0</v>
      </c>
      <c r="I215" s="1338"/>
      <c r="J215" s="1282">
        <f t="shared" si="46"/>
        <v>0</v>
      </c>
      <c r="K215" s="1338"/>
      <c r="L215" s="1282">
        <f t="shared" si="47"/>
        <v>0</v>
      </c>
      <c r="M215" s="1338"/>
      <c r="N215" s="1282">
        <f t="shared" si="48"/>
        <v>0</v>
      </c>
      <c r="O215" s="1338"/>
      <c r="P215" s="1282">
        <f t="shared" si="49"/>
        <v>0</v>
      </c>
      <c r="Q215" s="1338"/>
      <c r="R215" s="1282">
        <f t="shared" si="50"/>
        <v>0</v>
      </c>
      <c r="S215" s="1338"/>
      <c r="T215" s="1283">
        <f t="shared" si="51"/>
        <v>0</v>
      </c>
      <c r="U215" s="1284">
        <f t="shared" si="43"/>
        <v>0</v>
      </c>
      <c r="V215" s="1285">
        <f t="shared" si="44"/>
        <v>0</v>
      </c>
    </row>
    <row r="216" spans="2:22" outlineLevel="1">
      <c r="B216" s="1278" t="s">
        <v>1617</v>
      </c>
      <c r="C216" s="1299" t="s">
        <v>867</v>
      </c>
      <c r="D216" s="1280" t="s">
        <v>868</v>
      </c>
      <c r="E216" s="1309" t="s">
        <v>870</v>
      </c>
      <c r="F216" s="1281">
        <v>1110.2</v>
      </c>
      <c r="G216" s="1338"/>
      <c r="H216" s="1282">
        <f t="shared" si="45"/>
        <v>0</v>
      </c>
      <c r="I216" s="1338"/>
      <c r="J216" s="1282">
        <f t="shared" si="46"/>
        <v>0</v>
      </c>
      <c r="K216" s="1338"/>
      <c r="L216" s="1282">
        <f t="shared" si="47"/>
        <v>0</v>
      </c>
      <c r="M216" s="1338"/>
      <c r="N216" s="1282">
        <f t="shared" si="48"/>
        <v>0</v>
      </c>
      <c r="O216" s="1338"/>
      <c r="P216" s="1282">
        <f t="shared" si="49"/>
        <v>0</v>
      </c>
      <c r="Q216" s="1338"/>
      <c r="R216" s="1282">
        <f t="shared" si="50"/>
        <v>0</v>
      </c>
      <c r="S216" s="1338"/>
      <c r="T216" s="1283">
        <f t="shared" si="51"/>
        <v>0</v>
      </c>
      <c r="U216" s="1284">
        <f t="shared" si="43"/>
        <v>0</v>
      </c>
      <c r="V216" s="1285">
        <f t="shared" si="44"/>
        <v>0</v>
      </c>
    </row>
    <row r="217" spans="2:22" outlineLevel="1">
      <c r="B217" s="1278" t="s">
        <v>1618</v>
      </c>
      <c r="C217" s="1299" t="s">
        <v>867</v>
      </c>
      <c r="D217" s="1280" t="s">
        <v>868</v>
      </c>
      <c r="E217" s="1309" t="s">
        <v>815</v>
      </c>
      <c r="F217" s="1281">
        <v>1682.13</v>
      </c>
      <c r="G217" s="1338"/>
      <c r="H217" s="1282">
        <f t="shared" si="45"/>
        <v>0</v>
      </c>
      <c r="I217" s="1338"/>
      <c r="J217" s="1282">
        <f t="shared" si="46"/>
        <v>0</v>
      </c>
      <c r="K217" s="1338"/>
      <c r="L217" s="1282">
        <f t="shared" si="47"/>
        <v>0</v>
      </c>
      <c r="M217" s="1338"/>
      <c r="N217" s="1282">
        <f t="shared" si="48"/>
        <v>0</v>
      </c>
      <c r="O217" s="1338"/>
      <c r="P217" s="1282">
        <f t="shared" si="49"/>
        <v>0</v>
      </c>
      <c r="Q217" s="1338"/>
      <c r="R217" s="1282">
        <f t="shared" si="50"/>
        <v>0</v>
      </c>
      <c r="S217" s="1338"/>
      <c r="T217" s="1283">
        <f t="shared" si="51"/>
        <v>0</v>
      </c>
      <c r="U217" s="1284">
        <f t="shared" si="43"/>
        <v>0</v>
      </c>
      <c r="V217" s="1285">
        <f t="shared" si="44"/>
        <v>0</v>
      </c>
    </row>
    <row r="218" spans="2:22" outlineLevel="1">
      <c r="B218" s="1278" t="s">
        <v>1619</v>
      </c>
      <c r="C218" s="1299" t="s">
        <v>867</v>
      </c>
      <c r="D218" s="1280" t="s">
        <v>868</v>
      </c>
      <c r="E218" s="1309" t="s">
        <v>816</v>
      </c>
      <c r="F218" s="1281">
        <v>2354.98</v>
      </c>
      <c r="G218" s="1338"/>
      <c r="H218" s="1282">
        <f t="shared" si="45"/>
        <v>0</v>
      </c>
      <c r="I218" s="1338"/>
      <c r="J218" s="1282">
        <f t="shared" si="46"/>
        <v>0</v>
      </c>
      <c r="K218" s="1338"/>
      <c r="L218" s="1282">
        <f t="shared" si="47"/>
        <v>0</v>
      </c>
      <c r="M218" s="1338"/>
      <c r="N218" s="1282">
        <f t="shared" si="48"/>
        <v>0</v>
      </c>
      <c r="O218" s="1338"/>
      <c r="P218" s="1282">
        <f t="shared" si="49"/>
        <v>0</v>
      </c>
      <c r="Q218" s="1338"/>
      <c r="R218" s="1282">
        <f t="shared" si="50"/>
        <v>0</v>
      </c>
      <c r="S218" s="1338"/>
      <c r="T218" s="1283">
        <f t="shared" si="51"/>
        <v>0</v>
      </c>
      <c r="U218" s="1284">
        <f t="shared" si="43"/>
        <v>0</v>
      </c>
      <c r="V218" s="1285">
        <f t="shared" si="44"/>
        <v>0</v>
      </c>
    </row>
    <row r="219" spans="2:22" outlineLevel="1">
      <c r="B219" s="1278" t="s">
        <v>1620</v>
      </c>
      <c r="C219" s="1299" t="s">
        <v>867</v>
      </c>
      <c r="D219" s="1280" t="s">
        <v>868</v>
      </c>
      <c r="E219" s="1309" t="s">
        <v>817</v>
      </c>
      <c r="F219" s="1281">
        <v>3027.83</v>
      </c>
      <c r="G219" s="1338"/>
      <c r="H219" s="1282">
        <f t="shared" si="45"/>
        <v>0</v>
      </c>
      <c r="I219" s="1338"/>
      <c r="J219" s="1282">
        <f t="shared" si="46"/>
        <v>0</v>
      </c>
      <c r="K219" s="1338"/>
      <c r="L219" s="1282">
        <f t="shared" si="47"/>
        <v>0</v>
      </c>
      <c r="M219" s="1338"/>
      <c r="N219" s="1282">
        <f t="shared" si="48"/>
        <v>0</v>
      </c>
      <c r="O219" s="1338"/>
      <c r="P219" s="1282">
        <f t="shared" si="49"/>
        <v>0</v>
      </c>
      <c r="Q219" s="1338"/>
      <c r="R219" s="1282">
        <f t="shared" si="50"/>
        <v>0</v>
      </c>
      <c r="S219" s="1338"/>
      <c r="T219" s="1283">
        <f t="shared" si="51"/>
        <v>0</v>
      </c>
      <c r="U219" s="1284">
        <f t="shared" si="43"/>
        <v>0</v>
      </c>
      <c r="V219" s="1285">
        <f t="shared" si="44"/>
        <v>0</v>
      </c>
    </row>
    <row r="220" spans="2:22" outlineLevel="1">
      <c r="B220" s="1278" t="s">
        <v>1621</v>
      </c>
      <c r="C220" s="1299" t="s">
        <v>867</v>
      </c>
      <c r="D220" s="1280" t="s">
        <v>868</v>
      </c>
      <c r="E220" s="1309" t="s">
        <v>818</v>
      </c>
      <c r="F220" s="1281">
        <v>3700.68</v>
      </c>
      <c r="G220" s="1338"/>
      <c r="H220" s="1282">
        <f t="shared" si="45"/>
        <v>0</v>
      </c>
      <c r="I220" s="1338"/>
      <c r="J220" s="1282">
        <f t="shared" si="46"/>
        <v>0</v>
      </c>
      <c r="K220" s="1338"/>
      <c r="L220" s="1282">
        <f t="shared" si="47"/>
        <v>0</v>
      </c>
      <c r="M220" s="1338"/>
      <c r="N220" s="1282">
        <f t="shared" si="48"/>
        <v>0</v>
      </c>
      <c r="O220" s="1338"/>
      <c r="P220" s="1282">
        <f t="shared" si="49"/>
        <v>0</v>
      </c>
      <c r="Q220" s="1338"/>
      <c r="R220" s="1282">
        <f t="shared" si="50"/>
        <v>0</v>
      </c>
      <c r="S220" s="1338"/>
      <c r="T220" s="1283">
        <f t="shared" si="51"/>
        <v>0</v>
      </c>
      <c r="U220" s="1284">
        <f t="shared" si="43"/>
        <v>0</v>
      </c>
      <c r="V220" s="1285">
        <f t="shared" si="44"/>
        <v>0</v>
      </c>
    </row>
    <row r="221" spans="2:22" outlineLevel="1">
      <c r="B221" s="1278" t="s">
        <v>1622</v>
      </c>
      <c r="C221" s="1299" t="s">
        <v>867</v>
      </c>
      <c r="D221" s="1280" t="s">
        <v>868</v>
      </c>
      <c r="E221" s="1309" t="s">
        <v>819</v>
      </c>
      <c r="F221" s="1281">
        <v>4373.53</v>
      </c>
      <c r="G221" s="1338"/>
      <c r="H221" s="1282">
        <f t="shared" si="45"/>
        <v>0</v>
      </c>
      <c r="I221" s="1338"/>
      <c r="J221" s="1282">
        <f t="shared" si="46"/>
        <v>0</v>
      </c>
      <c r="K221" s="1338"/>
      <c r="L221" s="1282">
        <f t="shared" si="47"/>
        <v>0</v>
      </c>
      <c r="M221" s="1338"/>
      <c r="N221" s="1282">
        <f t="shared" si="48"/>
        <v>0</v>
      </c>
      <c r="O221" s="1338"/>
      <c r="P221" s="1282">
        <f t="shared" si="49"/>
        <v>0</v>
      </c>
      <c r="Q221" s="1338"/>
      <c r="R221" s="1282">
        <f t="shared" si="50"/>
        <v>0</v>
      </c>
      <c r="S221" s="1338"/>
      <c r="T221" s="1283">
        <f t="shared" si="51"/>
        <v>0</v>
      </c>
      <c r="U221" s="1284">
        <f t="shared" si="43"/>
        <v>0</v>
      </c>
      <c r="V221" s="1285">
        <f t="shared" si="44"/>
        <v>0</v>
      </c>
    </row>
    <row r="222" spans="2:22" outlineLevel="1">
      <c r="B222" s="1278" t="s">
        <v>1623</v>
      </c>
      <c r="C222" s="1299" t="s">
        <v>867</v>
      </c>
      <c r="D222" s="1280" t="s">
        <v>868</v>
      </c>
      <c r="E222" s="1309" t="s">
        <v>820</v>
      </c>
      <c r="F222" s="1281">
        <v>5046.38</v>
      </c>
      <c r="G222" s="1338"/>
      <c r="H222" s="1282">
        <f t="shared" si="45"/>
        <v>0</v>
      </c>
      <c r="I222" s="1338"/>
      <c r="J222" s="1282">
        <f t="shared" si="46"/>
        <v>0</v>
      </c>
      <c r="K222" s="1338"/>
      <c r="L222" s="1282">
        <f t="shared" si="47"/>
        <v>0</v>
      </c>
      <c r="M222" s="1338"/>
      <c r="N222" s="1282">
        <f t="shared" si="48"/>
        <v>0</v>
      </c>
      <c r="O222" s="1338"/>
      <c r="P222" s="1282">
        <f t="shared" si="49"/>
        <v>0</v>
      </c>
      <c r="Q222" s="1338"/>
      <c r="R222" s="1282">
        <f t="shared" si="50"/>
        <v>0</v>
      </c>
      <c r="S222" s="1338"/>
      <c r="T222" s="1283">
        <f t="shared" si="51"/>
        <v>0</v>
      </c>
      <c r="U222" s="1284">
        <f t="shared" si="43"/>
        <v>0</v>
      </c>
      <c r="V222" s="1285">
        <f t="shared" si="44"/>
        <v>0</v>
      </c>
    </row>
    <row r="223" spans="2:22" outlineLevel="1">
      <c r="B223" s="1278" t="s">
        <v>1624</v>
      </c>
      <c r="C223" s="1299" t="s">
        <v>867</v>
      </c>
      <c r="D223" s="1280" t="s">
        <v>868</v>
      </c>
      <c r="E223" s="1309" t="s">
        <v>821</v>
      </c>
      <c r="F223" s="1281">
        <v>5719.23</v>
      </c>
      <c r="G223" s="1338"/>
      <c r="H223" s="1282">
        <f t="shared" si="45"/>
        <v>0</v>
      </c>
      <c r="I223" s="1338"/>
      <c r="J223" s="1282">
        <f t="shared" si="46"/>
        <v>0</v>
      </c>
      <c r="K223" s="1338"/>
      <c r="L223" s="1282">
        <f t="shared" si="47"/>
        <v>0</v>
      </c>
      <c r="M223" s="1338"/>
      <c r="N223" s="1282">
        <f t="shared" si="48"/>
        <v>0</v>
      </c>
      <c r="O223" s="1338"/>
      <c r="P223" s="1282">
        <f t="shared" si="49"/>
        <v>0</v>
      </c>
      <c r="Q223" s="1338"/>
      <c r="R223" s="1282">
        <f t="shared" si="50"/>
        <v>0</v>
      </c>
      <c r="S223" s="1338"/>
      <c r="T223" s="1283">
        <f t="shared" si="51"/>
        <v>0</v>
      </c>
      <c r="U223" s="1284">
        <f t="shared" si="43"/>
        <v>0</v>
      </c>
      <c r="V223" s="1285">
        <f t="shared" si="44"/>
        <v>0</v>
      </c>
    </row>
    <row r="224" spans="2:22" outlineLevel="1">
      <c r="B224" s="1278" t="s">
        <v>1625</v>
      </c>
      <c r="C224" s="1299" t="s">
        <v>867</v>
      </c>
      <c r="D224" s="1280" t="s">
        <v>868</v>
      </c>
      <c r="E224" s="1309" t="s">
        <v>822</v>
      </c>
      <c r="F224" s="1281">
        <v>6392.08</v>
      </c>
      <c r="G224" s="1338"/>
      <c r="H224" s="1282">
        <f t="shared" si="45"/>
        <v>0</v>
      </c>
      <c r="I224" s="1338"/>
      <c r="J224" s="1282">
        <f t="shared" si="46"/>
        <v>0</v>
      </c>
      <c r="K224" s="1338"/>
      <c r="L224" s="1282">
        <f t="shared" si="47"/>
        <v>0</v>
      </c>
      <c r="M224" s="1338"/>
      <c r="N224" s="1282">
        <f t="shared" si="48"/>
        <v>0</v>
      </c>
      <c r="O224" s="1338"/>
      <c r="P224" s="1282">
        <f t="shared" si="49"/>
        <v>0</v>
      </c>
      <c r="Q224" s="1338"/>
      <c r="R224" s="1282">
        <f t="shared" si="50"/>
        <v>0</v>
      </c>
      <c r="S224" s="1338"/>
      <c r="T224" s="1283">
        <f t="shared" si="51"/>
        <v>0</v>
      </c>
      <c r="U224" s="1284">
        <f t="shared" si="43"/>
        <v>0</v>
      </c>
      <c r="V224" s="1285">
        <f t="shared" si="44"/>
        <v>0</v>
      </c>
    </row>
    <row r="225" spans="2:22" outlineLevel="1">
      <c r="B225" s="1278" t="s">
        <v>1626</v>
      </c>
      <c r="C225" s="1299" t="s">
        <v>867</v>
      </c>
      <c r="D225" s="1280" t="s">
        <v>868</v>
      </c>
      <c r="E225" s="1309" t="s">
        <v>823</v>
      </c>
      <c r="F225" s="1281">
        <v>7401.35</v>
      </c>
      <c r="G225" s="1338"/>
      <c r="H225" s="1282">
        <f t="shared" si="45"/>
        <v>0</v>
      </c>
      <c r="I225" s="1338"/>
      <c r="J225" s="1282">
        <f t="shared" si="46"/>
        <v>0</v>
      </c>
      <c r="K225" s="1338"/>
      <c r="L225" s="1282">
        <f t="shared" si="47"/>
        <v>0</v>
      </c>
      <c r="M225" s="1338"/>
      <c r="N225" s="1282">
        <f t="shared" si="48"/>
        <v>0</v>
      </c>
      <c r="O225" s="1338"/>
      <c r="P225" s="1282">
        <f t="shared" si="49"/>
        <v>0</v>
      </c>
      <c r="Q225" s="1338"/>
      <c r="R225" s="1282">
        <f t="shared" si="50"/>
        <v>0</v>
      </c>
      <c r="S225" s="1338"/>
      <c r="T225" s="1283">
        <f t="shared" si="51"/>
        <v>0</v>
      </c>
      <c r="U225" s="1284">
        <f t="shared" si="43"/>
        <v>0</v>
      </c>
      <c r="V225" s="1285">
        <f t="shared" si="44"/>
        <v>0</v>
      </c>
    </row>
    <row r="226" spans="2:22" outlineLevel="1">
      <c r="B226" s="1278" t="s">
        <v>1627</v>
      </c>
      <c r="C226" s="1299" t="s">
        <v>867</v>
      </c>
      <c r="D226" s="1280" t="s">
        <v>868</v>
      </c>
      <c r="E226" s="1309" t="s">
        <v>773</v>
      </c>
      <c r="F226" s="1281">
        <v>8747.0500000000011</v>
      </c>
      <c r="G226" s="1338"/>
      <c r="H226" s="1282">
        <f t="shared" si="45"/>
        <v>0</v>
      </c>
      <c r="I226" s="1338"/>
      <c r="J226" s="1282">
        <f t="shared" si="46"/>
        <v>0</v>
      </c>
      <c r="K226" s="1338"/>
      <c r="L226" s="1282">
        <f t="shared" si="47"/>
        <v>0</v>
      </c>
      <c r="M226" s="1338"/>
      <c r="N226" s="1282">
        <f t="shared" si="48"/>
        <v>0</v>
      </c>
      <c r="O226" s="1338"/>
      <c r="P226" s="1282">
        <f t="shared" si="49"/>
        <v>0</v>
      </c>
      <c r="Q226" s="1338"/>
      <c r="R226" s="1282">
        <f t="shared" si="50"/>
        <v>0</v>
      </c>
      <c r="S226" s="1338"/>
      <c r="T226" s="1283">
        <f t="shared" si="51"/>
        <v>0</v>
      </c>
      <c r="U226" s="1284">
        <f t="shared" si="43"/>
        <v>0</v>
      </c>
      <c r="V226" s="1285">
        <f t="shared" si="44"/>
        <v>0</v>
      </c>
    </row>
    <row r="227" spans="2:22" outlineLevel="1">
      <c r="B227" s="1278" t="s">
        <v>1628</v>
      </c>
      <c r="C227" s="1299" t="s">
        <v>867</v>
      </c>
      <c r="D227" s="1280" t="s">
        <v>868</v>
      </c>
      <c r="E227" s="1309" t="s">
        <v>774</v>
      </c>
      <c r="F227" s="1281">
        <v>10092.75</v>
      </c>
      <c r="G227" s="1338"/>
      <c r="H227" s="1282">
        <f t="shared" si="45"/>
        <v>0</v>
      </c>
      <c r="I227" s="1338"/>
      <c r="J227" s="1282">
        <f t="shared" si="46"/>
        <v>0</v>
      </c>
      <c r="K227" s="1338"/>
      <c r="L227" s="1282">
        <f t="shared" si="47"/>
        <v>0</v>
      </c>
      <c r="M227" s="1338"/>
      <c r="N227" s="1282">
        <f t="shared" si="48"/>
        <v>0</v>
      </c>
      <c r="O227" s="1338"/>
      <c r="P227" s="1282">
        <f t="shared" si="49"/>
        <v>0</v>
      </c>
      <c r="Q227" s="1338"/>
      <c r="R227" s="1282">
        <f t="shared" si="50"/>
        <v>0</v>
      </c>
      <c r="S227" s="1338"/>
      <c r="T227" s="1283">
        <f t="shared" si="51"/>
        <v>0</v>
      </c>
      <c r="U227" s="1284">
        <f t="shared" si="43"/>
        <v>0</v>
      </c>
      <c r="V227" s="1285">
        <f t="shared" si="44"/>
        <v>0</v>
      </c>
    </row>
    <row r="228" spans="2:22" outlineLevel="1">
      <c r="B228" s="1278" t="s">
        <v>1629</v>
      </c>
      <c r="C228" s="1299" t="s">
        <v>867</v>
      </c>
      <c r="D228" s="1280" t="s">
        <v>868</v>
      </c>
      <c r="E228" s="1309" t="s">
        <v>775</v>
      </c>
      <c r="F228" s="1281">
        <v>11438.45</v>
      </c>
      <c r="G228" s="1338"/>
      <c r="H228" s="1282">
        <f t="shared" si="45"/>
        <v>0</v>
      </c>
      <c r="I228" s="1338"/>
      <c r="J228" s="1282">
        <f t="shared" si="46"/>
        <v>0</v>
      </c>
      <c r="K228" s="1338"/>
      <c r="L228" s="1282">
        <f t="shared" si="47"/>
        <v>0</v>
      </c>
      <c r="M228" s="1338"/>
      <c r="N228" s="1282">
        <f t="shared" si="48"/>
        <v>0</v>
      </c>
      <c r="O228" s="1338"/>
      <c r="P228" s="1282">
        <f t="shared" si="49"/>
        <v>0</v>
      </c>
      <c r="Q228" s="1338"/>
      <c r="R228" s="1282">
        <f t="shared" si="50"/>
        <v>0</v>
      </c>
      <c r="S228" s="1338"/>
      <c r="T228" s="1283">
        <f t="shared" si="51"/>
        <v>0</v>
      </c>
      <c r="U228" s="1284">
        <f t="shared" si="43"/>
        <v>0</v>
      </c>
      <c r="V228" s="1285">
        <f t="shared" si="44"/>
        <v>0</v>
      </c>
    </row>
    <row r="229" spans="2:22" outlineLevel="1">
      <c r="B229" s="1278" t="s">
        <v>1630</v>
      </c>
      <c r="C229" s="1299" t="s">
        <v>867</v>
      </c>
      <c r="D229" s="1280" t="s">
        <v>868</v>
      </c>
      <c r="E229" s="1309" t="s">
        <v>776</v>
      </c>
      <c r="F229" s="1281">
        <v>12784.150000000001</v>
      </c>
      <c r="G229" s="1338"/>
      <c r="H229" s="1282">
        <f t="shared" si="45"/>
        <v>0</v>
      </c>
      <c r="I229" s="1338"/>
      <c r="J229" s="1282">
        <f t="shared" si="46"/>
        <v>0</v>
      </c>
      <c r="K229" s="1338"/>
      <c r="L229" s="1282">
        <f t="shared" si="47"/>
        <v>0</v>
      </c>
      <c r="M229" s="1338"/>
      <c r="N229" s="1282">
        <f t="shared" si="48"/>
        <v>0</v>
      </c>
      <c r="O229" s="1338"/>
      <c r="P229" s="1282">
        <f t="shared" si="49"/>
        <v>0</v>
      </c>
      <c r="Q229" s="1338"/>
      <c r="R229" s="1282">
        <f t="shared" si="50"/>
        <v>0</v>
      </c>
      <c r="S229" s="1338"/>
      <c r="T229" s="1283">
        <f t="shared" si="51"/>
        <v>0</v>
      </c>
      <c r="U229" s="1284">
        <f t="shared" ref="U229:U292" si="52">G229+I229+K229+M229+O229+Q229+S229</f>
        <v>0</v>
      </c>
      <c r="V229" s="1285">
        <f t="shared" ref="V229:V292" si="53">U229*F229</f>
        <v>0</v>
      </c>
    </row>
    <row r="230" spans="2:22" outlineLevel="1">
      <c r="B230" s="1278" t="s">
        <v>1631</v>
      </c>
      <c r="C230" s="1299" t="s">
        <v>867</v>
      </c>
      <c r="D230" s="1280" t="s">
        <v>868</v>
      </c>
      <c r="E230" s="1309" t="s">
        <v>824</v>
      </c>
      <c r="F230" s="1281">
        <v>14802.7</v>
      </c>
      <c r="G230" s="1338"/>
      <c r="H230" s="1282">
        <f t="shared" si="45"/>
        <v>0</v>
      </c>
      <c r="I230" s="1338"/>
      <c r="J230" s="1282">
        <f t="shared" si="46"/>
        <v>0</v>
      </c>
      <c r="K230" s="1338"/>
      <c r="L230" s="1282">
        <f t="shared" si="47"/>
        <v>0</v>
      </c>
      <c r="M230" s="1338"/>
      <c r="N230" s="1282">
        <f t="shared" si="48"/>
        <v>0</v>
      </c>
      <c r="O230" s="1338"/>
      <c r="P230" s="1282">
        <f t="shared" si="49"/>
        <v>0</v>
      </c>
      <c r="Q230" s="1338"/>
      <c r="R230" s="1282">
        <f t="shared" si="50"/>
        <v>0</v>
      </c>
      <c r="S230" s="1338"/>
      <c r="T230" s="1283">
        <f t="shared" si="51"/>
        <v>0</v>
      </c>
      <c r="U230" s="1284">
        <f t="shared" si="52"/>
        <v>0</v>
      </c>
      <c r="V230" s="1285">
        <f t="shared" si="53"/>
        <v>0</v>
      </c>
    </row>
    <row r="231" spans="2:22" outlineLevel="1">
      <c r="B231" s="1278" t="s">
        <v>1632</v>
      </c>
      <c r="C231" s="1299" t="s">
        <v>867</v>
      </c>
      <c r="D231" s="1280" t="s">
        <v>868</v>
      </c>
      <c r="E231" s="1309" t="s">
        <v>779</v>
      </c>
      <c r="F231" s="1281">
        <v>17494.100000000002</v>
      </c>
      <c r="G231" s="1338"/>
      <c r="H231" s="1282">
        <f t="shared" si="45"/>
        <v>0</v>
      </c>
      <c r="I231" s="1338"/>
      <c r="J231" s="1282">
        <f t="shared" si="46"/>
        <v>0</v>
      </c>
      <c r="K231" s="1338"/>
      <c r="L231" s="1282">
        <f t="shared" si="47"/>
        <v>0</v>
      </c>
      <c r="M231" s="1338"/>
      <c r="N231" s="1282">
        <f t="shared" si="48"/>
        <v>0</v>
      </c>
      <c r="O231" s="1338"/>
      <c r="P231" s="1282">
        <f t="shared" si="49"/>
        <v>0</v>
      </c>
      <c r="Q231" s="1338"/>
      <c r="R231" s="1282">
        <f t="shared" si="50"/>
        <v>0</v>
      </c>
      <c r="S231" s="1338"/>
      <c r="T231" s="1283">
        <f t="shared" si="51"/>
        <v>0</v>
      </c>
      <c r="U231" s="1284">
        <f t="shared" si="52"/>
        <v>0</v>
      </c>
      <c r="V231" s="1285">
        <f t="shared" si="53"/>
        <v>0</v>
      </c>
    </row>
    <row r="232" spans="2:22" outlineLevel="1">
      <c r="B232" s="1278" t="s">
        <v>1633</v>
      </c>
      <c r="C232" s="1299" t="s">
        <v>867</v>
      </c>
      <c r="D232" s="1280" t="s">
        <v>868</v>
      </c>
      <c r="E232" s="1309" t="s">
        <v>780</v>
      </c>
      <c r="F232" s="1281">
        <v>20185.5</v>
      </c>
      <c r="G232" s="1338"/>
      <c r="H232" s="1282">
        <f t="shared" si="45"/>
        <v>0</v>
      </c>
      <c r="I232" s="1338"/>
      <c r="J232" s="1282">
        <f t="shared" si="46"/>
        <v>0</v>
      </c>
      <c r="K232" s="1338"/>
      <c r="L232" s="1282">
        <f t="shared" si="47"/>
        <v>0</v>
      </c>
      <c r="M232" s="1338"/>
      <c r="N232" s="1282">
        <f t="shared" si="48"/>
        <v>0</v>
      </c>
      <c r="O232" s="1338"/>
      <c r="P232" s="1282">
        <f t="shared" si="49"/>
        <v>0</v>
      </c>
      <c r="Q232" s="1338"/>
      <c r="R232" s="1282">
        <f t="shared" si="50"/>
        <v>0</v>
      </c>
      <c r="S232" s="1338"/>
      <c r="T232" s="1283">
        <f t="shared" si="51"/>
        <v>0</v>
      </c>
      <c r="U232" s="1284">
        <f t="shared" si="52"/>
        <v>0</v>
      </c>
      <c r="V232" s="1285">
        <f t="shared" si="53"/>
        <v>0</v>
      </c>
    </row>
    <row r="233" spans="2:22" outlineLevel="1">
      <c r="B233" s="1278" t="s">
        <v>1634</v>
      </c>
      <c r="C233" s="1299" t="s">
        <v>867</v>
      </c>
      <c r="D233" s="1280" t="s">
        <v>868</v>
      </c>
      <c r="E233" s="1309" t="s">
        <v>871</v>
      </c>
      <c r="F233" s="1281">
        <v>24222.600000000002</v>
      </c>
      <c r="G233" s="1338"/>
      <c r="H233" s="1282">
        <f t="shared" si="45"/>
        <v>0</v>
      </c>
      <c r="I233" s="1338"/>
      <c r="J233" s="1282">
        <f t="shared" si="46"/>
        <v>0</v>
      </c>
      <c r="K233" s="1338"/>
      <c r="L233" s="1282">
        <f t="shared" si="47"/>
        <v>0</v>
      </c>
      <c r="M233" s="1338"/>
      <c r="N233" s="1282">
        <f t="shared" si="48"/>
        <v>0</v>
      </c>
      <c r="O233" s="1338"/>
      <c r="P233" s="1282">
        <f t="shared" si="49"/>
        <v>0</v>
      </c>
      <c r="Q233" s="1338"/>
      <c r="R233" s="1282">
        <f t="shared" si="50"/>
        <v>0</v>
      </c>
      <c r="S233" s="1338"/>
      <c r="T233" s="1283">
        <f t="shared" si="51"/>
        <v>0</v>
      </c>
      <c r="U233" s="1284">
        <f t="shared" si="52"/>
        <v>0</v>
      </c>
      <c r="V233" s="1285">
        <f t="shared" si="53"/>
        <v>0</v>
      </c>
    </row>
    <row r="234" spans="2:22" outlineLevel="1">
      <c r="B234" s="1278" t="s">
        <v>1635</v>
      </c>
      <c r="C234" s="1299" t="s">
        <v>867</v>
      </c>
      <c r="D234" s="1280" t="s">
        <v>868</v>
      </c>
      <c r="E234" s="1309" t="s">
        <v>872</v>
      </c>
      <c r="F234" s="1281">
        <v>29605.4</v>
      </c>
      <c r="G234" s="1338"/>
      <c r="H234" s="1282">
        <f t="shared" si="45"/>
        <v>0</v>
      </c>
      <c r="I234" s="1338"/>
      <c r="J234" s="1282">
        <f t="shared" si="46"/>
        <v>0</v>
      </c>
      <c r="K234" s="1338"/>
      <c r="L234" s="1282">
        <f t="shared" si="47"/>
        <v>0</v>
      </c>
      <c r="M234" s="1338"/>
      <c r="N234" s="1282">
        <f t="shared" si="48"/>
        <v>0</v>
      </c>
      <c r="O234" s="1338"/>
      <c r="P234" s="1282">
        <f t="shared" si="49"/>
        <v>0</v>
      </c>
      <c r="Q234" s="1338"/>
      <c r="R234" s="1282">
        <f t="shared" si="50"/>
        <v>0</v>
      </c>
      <c r="S234" s="1338"/>
      <c r="T234" s="1283">
        <f t="shared" si="51"/>
        <v>0</v>
      </c>
      <c r="U234" s="1284">
        <f t="shared" si="52"/>
        <v>0</v>
      </c>
      <c r="V234" s="1285">
        <f t="shared" si="53"/>
        <v>0</v>
      </c>
    </row>
    <row r="235" spans="2:22" outlineLevel="1">
      <c r="B235" s="1278" t="s">
        <v>1636</v>
      </c>
      <c r="C235" s="1299" t="s">
        <v>867</v>
      </c>
      <c r="D235" s="1280" t="s">
        <v>868</v>
      </c>
      <c r="E235" s="1309" t="s">
        <v>873</v>
      </c>
      <c r="F235" s="1281">
        <v>34988.200000000004</v>
      </c>
      <c r="G235" s="1338"/>
      <c r="H235" s="1282">
        <f t="shared" si="45"/>
        <v>0</v>
      </c>
      <c r="I235" s="1338"/>
      <c r="J235" s="1282">
        <f t="shared" si="46"/>
        <v>0</v>
      </c>
      <c r="K235" s="1338"/>
      <c r="L235" s="1282">
        <f t="shared" si="47"/>
        <v>0</v>
      </c>
      <c r="M235" s="1338"/>
      <c r="N235" s="1282">
        <f t="shared" si="48"/>
        <v>0</v>
      </c>
      <c r="O235" s="1338"/>
      <c r="P235" s="1282">
        <f t="shared" si="49"/>
        <v>0</v>
      </c>
      <c r="Q235" s="1338"/>
      <c r="R235" s="1282">
        <f t="shared" si="50"/>
        <v>0</v>
      </c>
      <c r="S235" s="1338"/>
      <c r="T235" s="1283">
        <f t="shared" si="51"/>
        <v>0</v>
      </c>
      <c r="U235" s="1284">
        <f t="shared" si="52"/>
        <v>0</v>
      </c>
      <c r="V235" s="1285">
        <f t="shared" si="53"/>
        <v>0</v>
      </c>
    </row>
    <row r="236" spans="2:22" outlineLevel="1">
      <c r="B236" s="1278" t="s">
        <v>1637</v>
      </c>
      <c r="C236" s="1299" t="s">
        <v>867</v>
      </c>
      <c r="D236" s="1280" t="s">
        <v>868</v>
      </c>
      <c r="E236" s="1309" t="s">
        <v>874</v>
      </c>
      <c r="F236" s="1281">
        <v>43062.400000000001</v>
      </c>
      <c r="G236" s="1338"/>
      <c r="H236" s="1282">
        <f t="shared" si="45"/>
        <v>0</v>
      </c>
      <c r="I236" s="1338"/>
      <c r="J236" s="1282">
        <f t="shared" si="46"/>
        <v>0</v>
      </c>
      <c r="K236" s="1338"/>
      <c r="L236" s="1282">
        <f t="shared" si="47"/>
        <v>0</v>
      </c>
      <c r="M236" s="1338"/>
      <c r="N236" s="1282">
        <f t="shared" si="48"/>
        <v>0</v>
      </c>
      <c r="O236" s="1338"/>
      <c r="P236" s="1282">
        <f t="shared" si="49"/>
        <v>0</v>
      </c>
      <c r="Q236" s="1338"/>
      <c r="R236" s="1282">
        <f t="shared" si="50"/>
        <v>0</v>
      </c>
      <c r="S236" s="1338"/>
      <c r="T236" s="1283">
        <f t="shared" si="51"/>
        <v>0</v>
      </c>
      <c r="U236" s="1284">
        <f t="shared" si="52"/>
        <v>0</v>
      </c>
      <c r="V236" s="1285">
        <f t="shared" si="53"/>
        <v>0</v>
      </c>
    </row>
    <row r="237" spans="2:22" outlineLevel="1">
      <c r="B237" s="1278" t="s">
        <v>1638</v>
      </c>
      <c r="C237" s="1299" t="s">
        <v>867</v>
      </c>
      <c r="D237" s="1280" t="s">
        <v>868</v>
      </c>
      <c r="E237" s="1309" t="s">
        <v>875</v>
      </c>
      <c r="F237" s="1281">
        <v>53828</v>
      </c>
      <c r="G237" s="1338"/>
      <c r="H237" s="1282">
        <f t="shared" si="45"/>
        <v>0</v>
      </c>
      <c r="I237" s="1338"/>
      <c r="J237" s="1282">
        <f t="shared" si="46"/>
        <v>0</v>
      </c>
      <c r="K237" s="1338"/>
      <c r="L237" s="1282">
        <f t="shared" si="47"/>
        <v>0</v>
      </c>
      <c r="M237" s="1338"/>
      <c r="N237" s="1282">
        <f t="shared" si="48"/>
        <v>0</v>
      </c>
      <c r="O237" s="1338"/>
      <c r="P237" s="1282">
        <f t="shared" si="49"/>
        <v>0</v>
      </c>
      <c r="Q237" s="1338"/>
      <c r="R237" s="1282">
        <f t="shared" si="50"/>
        <v>0</v>
      </c>
      <c r="S237" s="1338"/>
      <c r="T237" s="1283">
        <f t="shared" si="51"/>
        <v>0</v>
      </c>
      <c r="U237" s="1284">
        <f t="shared" si="52"/>
        <v>0</v>
      </c>
      <c r="V237" s="1285">
        <f t="shared" si="53"/>
        <v>0</v>
      </c>
    </row>
    <row r="238" spans="2:22" outlineLevel="1">
      <c r="B238" s="1278" t="s">
        <v>1639</v>
      </c>
      <c r="C238" s="1299" t="s">
        <v>867</v>
      </c>
      <c r="D238" s="1280" t="s">
        <v>868</v>
      </c>
      <c r="E238" s="1309" t="s">
        <v>876</v>
      </c>
      <c r="F238" s="1281">
        <v>64593.600000000006</v>
      </c>
      <c r="G238" s="1338"/>
      <c r="H238" s="1282">
        <f t="shared" si="45"/>
        <v>0</v>
      </c>
      <c r="I238" s="1338"/>
      <c r="J238" s="1282">
        <f t="shared" si="46"/>
        <v>0</v>
      </c>
      <c r="K238" s="1338"/>
      <c r="L238" s="1282">
        <f t="shared" si="47"/>
        <v>0</v>
      </c>
      <c r="M238" s="1338"/>
      <c r="N238" s="1282">
        <f t="shared" si="48"/>
        <v>0</v>
      </c>
      <c r="O238" s="1338"/>
      <c r="P238" s="1282">
        <f t="shared" si="49"/>
        <v>0</v>
      </c>
      <c r="Q238" s="1338"/>
      <c r="R238" s="1282">
        <f t="shared" si="50"/>
        <v>0</v>
      </c>
      <c r="S238" s="1338"/>
      <c r="T238" s="1283">
        <f t="shared" si="51"/>
        <v>0</v>
      </c>
      <c r="U238" s="1284">
        <f t="shared" si="52"/>
        <v>0</v>
      </c>
      <c r="V238" s="1285">
        <f t="shared" si="53"/>
        <v>0</v>
      </c>
    </row>
    <row r="239" spans="2:22" outlineLevel="1">
      <c r="B239" s="1278" t="s">
        <v>1640</v>
      </c>
      <c r="C239" s="1299" t="s">
        <v>867</v>
      </c>
      <c r="D239" s="1280" t="s">
        <v>868</v>
      </c>
      <c r="E239" s="1309" t="s">
        <v>877</v>
      </c>
      <c r="F239" s="1281">
        <v>75359.199999999997</v>
      </c>
      <c r="G239" s="1338"/>
      <c r="H239" s="1282">
        <f t="shared" si="45"/>
        <v>0</v>
      </c>
      <c r="I239" s="1338"/>
      <c r="J239" s="1282">
        <f t="shared" si="46"/>
        <v>0</v>
      </c>
      <c r="K239" s="1338"/>
      <c r="L239" s="1282">
        <f t="shared" si="47"/>
        <v>0</v>
      </c>
      <c r="M239" s="1338"/>
      <c r="N239" s="1282">
        <f t="shared" si="48"/>
        <v>0</v>
      </c>
      <c r="O239" s="1338"/>
      <c r="P239" s="1282">
        <f t="shared" si="49"/>
        <v>0</v>
      </c>
      <c r="Q239" s="1338"/>
      <c r="R239" s="1282">
        <f t="shared" si="50"/>
        <v>0</v>
      </c>
      <c r="S239" s="1338"/>
      <c r="T239" s="1283">
        <f t="shared" si="51"/>
        <v>0</v>
      </c>
      <c r="U239" s="1284">
        <f t="shared" si="52"/>
        <v>0</v>
      </c>
      <c r="V239" s="1285">
        <f t="shared" si="53"/>
        <v>0</v>
      </c>
    </row>
    <row r="240" spans="2:22" outlineLevel="1">
      <c r="B240" s="1278" t="s">
        <v>1641</v>
      </c>
      <c r="C240" s="1299" t="s">
        <v>867</v>
      </c>
      <c r="D240" s="1280" t="s">
        <v>868</v>
      </c>
      <c r="E240" s="1309" t="s">
        <v>878</v>
      </c>
      <c r="F240" s="1281">
        <v>86124.800000000003</v>
      </c>
      <c r="G240" s="1338"/>
      <c r="H240" s="1282">
        <f t="shared" si="45"/>
        <v>0</v>
      </c>
      <c r="I240" s="1338"/>
      <c r="J240" s="1282">
        <f t="shared" si="46"/>
        <v>0</v>
      </c>
      <c r="K240" s="1338"/>
      <c r="L240" s="1282">
        <f t="shared" si="47"/>
        <v>0</v>
      </c>
      <c r="M240" s="1338"/>
      <c r="N240" s="1282">
        <f t="shared" si="48"/>
        <v>0</v>
      </c>
      <c r="O240" s="1338"/>
      <c r="P240" s="1282">
        <f t="shared" si="49"/>
        <v>0</v>
      </c>
      <c r="Q240" s="1338"/>
      <c r="R240" s="1282">
        <f t="shared" si="50"/>
        <v>0</v>
      </c>
      <c r="S240" s="1338"/>
      <c r="T240" s="1283">
        <f t="shared" si="51"/>
        <v>0</v>
      </c>
      <c r="U240" s="1284">
        <f t="shared" si="52"/>
        <v>0</v>
      </c>
      <c r="V240" s="1285">
        <f t="shared" si="53"/>
        <v>0</v>
      </c>
    </row>
    <row r="241" spans="2:22" outlineLevel="1">
      <c r="B241" s="1278" t="s">
        <v>1642</v>
      </c>
      <c r="C241" s="1299" t="s">
        <v>867</v>
      </c>
      <c r="D241" s="1280" t="s">
        <v>868</v>
      </c>
      <c r="E241" s="1309" t="s">
        <v>879</v>
      </c>
      <c r="F241" s="1281">
        <v>96890.400000000009</v>
      </c>
      <c r="G241" s="1338"/>
      <c r="H241" s="1282">
        <f t="shared" si="45"/>
        <v>0</v>
      </c>
      <c r="I241" s="1338"/>
      <c r="J241" s="1282">
        <f t="shared" si="46"/>
        <v>0</v>
      </c>
      <c r="K241" s="1338"/>
      <c r="L241" s="1282">
        <f t="shared" si="47"/>
        <v>0</v>
      </c>
      <c r="M241" s="1338"/>
      <c r="N241" s="1282">
        <f t="shared" si="48"/>
        <v>0</v>
      </c>
      <c r="O241" s="1338"/>
      <c r="P241" s="1282">
        <f t="shared" si="49"/>
        <v>0</v>
      </c>
      <c r="Q241" s="1338"/>
      <c r="R241" s="1282">
        <f t="shared" si="50"/>
        <v>0</v>
      </c>
      <c r="S241" s="1338"/>
      <c r="T241" s="1283">
        <f t="shared" si="51"/>
        <v>0</v>
      </c>
      <c r="U241" s="1284">
        <f t="shared" si="52"/>
        <v>0</v>
      </c>
      <c r="V241" s="1285">
        <f t="shared" si="53"/>
        <v>0</v>
      </c>
    </row>
    <row r="242" spans="2:22" outlineLevel="1">
      <c r="B242" s="1278" t="s">
        <v>1643</v>
      </c>
      <c r="C242" s="1299" t="s">
        <v>867</v>
      </c>
      <c r="D242" s="1280" t="s">
        <v>868</v>
      </c>
      <c r="E242" s="1309" t="s">
        <v>880</v>
      </c>
      <c r="F242" s="1281">
        <v>107656</v>
      </c>
      <c r="G242" s="1338"/>
      <c r="H242" s="1282">
        <f t="shared" si="45"/>
        <v>0</v>
      </c>
      <c r="I242" s="1338"/>
      <c r="J242" s="1282">
        <f t="shared" si="46"/>
        <v>0</v>
      </c>
      <c r="K242" s="1338"/>
      <c r="L242" s="1282">
        <f t="shared" si="47"/>
        <v>0</v>
      </c>
      <c r="M242" s="1338"/>
      <c r="N242" s="1282">
        <f t="shared" si="48"/>
        <v>0</v>
      </c>
      <c r="O242" s="1338"/>
      <c r="P242" s="1282">
        <f t="shared" si="49"/>
        <v>0</v>
      </c>
      <c r="Q242" s="1338"/>
      <c r="R242" s="1282">
        <f t="shared" si="50"/>
        <v>0</v>
      </c>
      <c r="S242" s="1338"/>
      <c r="T242" s="1283">
        <f t="shared" si="51"/>
        <v>0</v>
      </c>
      <c r="U242" s="1284">
        <f t="shared" si="52"/>
        <v>0</v>
      </c>
      <c r="V242" s="1285">
        <f t="shared" si="53"/>
        <v>0</v>
      </c>
    </row>
    <row r="243" spans="2:22" outlineLevel="1">
      <c r="B243" s="1278" t="s">
        <v>1644</v>
      </c>
      <c r="C243" s="1299" t="s">
        <v>867</v>
      </c>
      <c r="D243" s="1280" t="s">
        <v>868</v>
      </c>
      <c r="E243" s="1309" t="s">
        <v>881</v>
      </c>
      <c r="F243" s="1281">
        <v>118421.6</v>
      </c>
      <c r="G243" s="1338"/>
      <c r="H243" s="1282">
        <f t="shared" si="45"/>
        <v>0</v>
      </c>
      <c r="I243" s="1338"/>
      <c r="J243" s="1282">
        <f t="shared" si="46"/>
        <v>0</v>
      </c>
      <c r="K243" s="1338"/>
      <c r="L243" s="1282">
        <f t="shared" si="47"/>
        <v>0</v>
      </c>
      <c r="M243" s="1338"/>
      <c r="N243" s="1282">
        <f t="shared" si="48"/>
        <v>0</v>
      </c>
      <c r="O243" s="1338"/>
      <c r="P243" s="1282">
        <f t="shared" si="49"/>
        <v>0</v>
      </c>
      <c r="Q243" s="1338"/>
      <c r="R243" s="1282">
        <f t="shared" si="50"/>
        <v>0</v>
      </c>
      <c r="S243" s="1338"/>
      <c r="T243" s="1283">
        <f t="shared" si="51"/>
        <v>0</v>
      </c>
      <c r="U243" s="1284">
        <f t="shared" si="52"/>
        <v>0</v>
      </c>
      <c r="V243" s="1285">
        <f t="shared" si="53"/>
        <v>0</v>
      </c>
    </row>
    <row r="244" spans="2:22" ht="12.75" customHeight="1">
      <c r="B244" s="1270" t="s">
        <v>2011</v>
      </c>
      <c r="C244" s="1271" t="s">
        <v>882</v>
      </c>
      <c r="D244" s="1271"/>
      <c r="E244" s="1272"/>
      <c r="F244" s="1302"/>
      <c r="G244" s="1339"/>
      <c r="H244" s="1296"/>
      <c r="I244" s="1339"/>
      <c r="J244" s="1296"/>
      <c r="K244" s="1339"/>
      <c r="L244" s="1296"/>
      <c r="M244" s="1339"/>
      <c r="N244" s="1296"/>
      <c r="O244" s="1339"/>
      <c r="P244" s="1296"/>
      <c r="Q244" s="1339"/>
      <c r="R244" s="1296"/>
      <c r="S244" s="1339"/>
      <c r="T244" s="1296"/>
      <c r="U244" s="1297"/>
      <c r="V244" s="1298"/>
    </row>
    <row r="245" spans="2:22" outlineLevel="1">
      <c r="B245" s="1278" t="s">
        <v>1645</v>
      </c>
      <c r="C245" s="1279" t="s">
        <v>882</v>
      </c>
      <c r="D245" s="1280" t="s">
        <v>883</v>
      </c>
      <c r="E245" s="1310" t="s">
        <v>884</v>
      </c>
      <c r="F245" s="1281">
        <v>681.86</v>
      </c>
      <c r="G245" s="1338"/>
      <c r="H245" s="1282">
        <f t="shared" si="45"/>
        <v>0</v>
      </c>
      <c r="I245" s="1338"/>
      <c r="J245" s="1282">
        <f t="shared" si="46"/>
        <v>0</v>
      </c>
      <c r="K245" s="1338"/>
      <c r="L245" s="1282">
        <f t="shared" si="47"/>
        <v>0</v>
      </c>
      <c r="M245" s="1338"/>
      <c r="N245" s="1282">
        <f t="shared" si="48"/>
        <v>0</v>
      </c>
      <c r="O245" s="1338"/>
      <c r="P245" s="1282">
        <f t="shared" si="49"/>
        <v>0</v>
      </c>
      <c r="Q245" s="1338"/>
      <c r="R245" s="1282">
        <f t="shared" si="50"/>
        <v>0</v>
      </c>
      <c r="S245" s="1338"/>
      <c r="T245" s="1283">
        <f t="shared" si="51"/>
        <v>0</v>
      </c>
      <c r="U245" s="1284">
        <f t="shared" si="52"/>
        <v>0</v>
      </c>
      <c r="V245" s="1285">
        <f t="shared" si="53"/>
        <v>0</v>
      </c>
    </row>
    <row r="246" spans="2:22" outlineLevel="1">
      <c r="B246" s="1278" t="s">
        <v>1646</v>
      </c>
      <c r="C246" s="1279" t="s">
        <v>882</v>
      </c>
      <c r="D246" s="1280" t="s">
        <v>883</v>
      </c>
      <c r="E246" s="1310" t="s">
        <v>885</v>
      </c>
      <c r="F246" s="1281">
        <v>1053.79</v>
      </c>
      <c r="G246" s="1338"/>
      <c r="H246" s="1282">
        <f t="shared" si="45"/>
        <v>0</v>
      </c>
      <c r="I246" s="1338"/>
      <c r="J246" s="1282">
        <f t="shared" si="46"/>
        <v>0</v>
      </c>
      <c r="K246" s="1338"/>
      <c r="L246" s="1282">
        <f t="shared" si="47"/>
        <v>0</v>
      </c>
      <c r="M246" s="1338"/>
      <c r="N246" s="1282">
        <f t="shared" si="48"/>
        <v>0</v>
      </c>
      <c r="O246" s="1338"/>
      <c r="P246" s="1282">
        <f t="shared" si="49"/>
        <v>0</v>
      </c>
      <c r="Q246" s="1338"/>
      <c r="R246" s="1282">
        <f t="shared" si="50"/>
        <v>0</v>
      </c>
      <c r="S246" s="1338"/>
      <c r="T246" s="1283">
        <f t="shared" si="51"/>
        <v>0</v>
      </c>
      <c r="U246" s="1284">
        <f t="shared" si="52"/>
        <v>0</v>
      </c>
      <c r="V246" s="1285">
        <f t="shared" si="53"/>
        <v>0</v>
      </c>
    </row>
    <row r="247" spans="2:22" outlineLevel="1">
      <c r="B247" s="1278" t="s">
        <v>1647</v>
      </c>
      <c r="C247" s="1279" t="s">
        <v>882</v>
      </c>
      <c r="D247" s="1280" t="s">
        <v>883</v>
      </c>
      <c r="E247" s="1310" t="s">
        <v>795</v>
      </c>
      <c r="F247" s="1281">
        <v>1487.6999999999998</v>
      </c>
      <c r="G247" s="1338"/>
      <c r="H247" s="1282">
        <f t="shared" si="45"/>
        <v>0</v>
      </c>
      <c r="I247" s="1338"/>
      <c r="J247" s="1282">
        <f t="shared" si="46"/>
        <v>0</v>
      </c>
      <c r="K247" s="1338"/>
      <c r="L247" s="1282">
        <f t="shared" si="47"/>
        <v>0</v>
      </c>
      <c r="M247" s="1338"/>
      <c r="N247" s="1282">
        <f t="shared" si="48"/>
        <v>0</v>
      </c>
      <c r="O247" s="1338"/>
      <c r="P247" s="1282">
        <f t="shared" si="49"/>
        <v>0</v>
      </c>
      <c r="Q247" s="1338"/>
      <c r="R247" s="1282">
        <f t="shared" si="50"/>
        <v>0</v>
      </c>
      <c r="S247" s="1338"/>
      <c r="T247" s="1283">
        <f t="shared" si="51"/>
        <v>0</v>
      </c>
      <c r="U247" s="1284">
        <f t="shared" si="52"/>
        <v>0</v>
      </c>
      <c r="V247" s="1285">
        <f t="shared" si="53"/>
        <v>0</v>
      </c>
    </row>
    <row r="248" spans="2:22" outlineLevel="1">
      <c r="B248" s="1278" t="s">
        <v>1648</v>
      </c>
      <c r="C248" s="1279" t="s">
        <v>882</v>
      </c>
      <c r="D248" s="1280" t="s">
        <v>883</v>
      </c>
      <c r="E248" s="1310" t="s">
        <v>796</v>
      </c>
      <c r="F248" s="1281">
        <v>1983.6</v>
      </c>
      <c r="G248" s="1338"/>
      <c r="H248" s="1282">
        <f t="shared" si="45"/>
        <v>0</v>
      </c>
      <c r="I248" s="1338"/>
      <c r="J248" s="1282">
        <f t="shared" si="46"/>
        <v>0</v>
      </c>
      <c r="K248" s="1338"/>
      <c r="L248" s="1282">
        <f t="shared" si="47"/>
        <v>0</v>
      </c>
      <c r="M248" s="1338"/>
      <c r="N248" s="1282">
        <f t="shared" si="48"/>
        <v>0</v>
      </c>
      <c r="O248" s="1338"/>
      <c r="P248" s="1282">
        <f t="shared" si="49"/>
        <v>0</v>
      </c>
      <c r="Q248" s="1338"/>
      <c r="R248" s="1282">
        <f t="shared" si="50"/>
        <v>0</v>
      </c>
      <c r="S248" s="1338"/>
      <c r="T248" s="1283">
        <f t="shared" si="51"/>
        <v>0</v>
      </c>
      <c r="U248" s="1284">
        <f t="shared" si="52"/>
        <v>0</v>
      </c>
      <c r="V248" s="1285">
        <f t="shared" si="53"/>
        <v>0</v>
      </c>
    </row>
    <row r="249" spans="2:22" outlineLevel="1">
      <c r="B249" s="1278" t="s">
        <v>1649</v>
      </c>
      <c r="C249" s="1279" t="s">
        <v>882</v>
      </c>
      <c r="D249" s="1280" t="s">
        <v>883</v>
      </c>
      <c r="E249" s="1310" t="s">
        <v>797</v>
      </c>
      <c r="F249" s="1281">
        <v>2479.5</v>
      </c>
      <c r="G249" s="1338"/>
      <c r="H249" s="1282">
        <f t="shared" si="45"/>
        <v>0</v>
      </c>
      <c r="I249" s="1338"/>
      <c r="J249" s="1282">
        <f t="shared" si="46"/>
        <v>0</v>
      </c>
      <c r="K249" s="1338"/>
      <c r="L249" s="1282">
        <f t="shared" si="47"/>
        <v>0</v>
      </c>
      <c r="M249" s="1338"/>
      <c r="N249" s="1282">
        <f t="shared" si="48"/>
        <v>0</v>
      </c>
      <c r="O249" s="1338"/>
      <c r="P249" s="1282">
        <f t="shared" si="49"/>
        <v>0</v>
      </c>
      <c r="Q249" s="1338"/>
      <c r="R249" s="1282">
        <f t="shared" si="50"/>
        <v>0</v>
      </c>
      <c r="S249" s="1338"/>
      <c r="T249" s="1283">
        <f t="shared" si="51"/>
        <v>0</v>
      </c>
      <c r="U249" s="1284">
        <f t="shared" si="52"/>
        <v>0</v>
      </c>
      <c r="V249" s="1285">
        <f t="shared" si="53"/>
        <v>0</v>
      </c>
    </row>
    <row r="250" spans="2:22" outlineLevel="1">
      <c r="B250" s="1278" t="s">
        <v>1650</v>
      </c>
      <c r="C250" s="1279" t="s">
        <v>882</v>
      </c>
      <c r="D250" s="1280" t="s">
        <v>883</v>
      </c>
      <c r="E250" s="1310" t="s">
        <v>798</v>
      </c>
      <c r="F250" s="1281">
        <v>2975.3999999999996</v>
      </c>
      <c r="G250" s="1338"/>
      <c r="H250" s="1282">
        <f t="shared" si="45"/>
        <v>0</v>
      </c>
      <c r="I250" s="1338"/>
      <c r="J250" s="1282">
        <f t="shared" si="46"/>
        <v>0</v>
      </c>
      <c r="K250" s="1338"/>
      <c r="L250" s="1282">
        <f t="shared" si="47"/>
        <v>0</v>
      </c>
      <c r="M250" s="1338"/>
      <c r="N250" s="1282">
        <f t="shared" si="48"/>
        <v>0</v>
      </c>
      <c r="O250" s="1338"/>
      <c r="P250" s="1282">
        <f t="shared" si="49"/>
        <v>0</v>
      </c>
      <c r="Q250" s="1338"/>
      <c r="R250" s="1282">
        <f t="shared" si="50"/>
        <v>0</v>
      </c>
      <c r="S250" s="1338"/>
      <c r="T250" s="1283">
        <f t="shared" si="51"/>
        <v>0</v>
      </c>
      <c r="U250" s="1284">
        <f t="shared" si="52"/>
        <v>0</v>
      </c>
      <c r="V250" s="1285">
        <f t="shared" si="53"/>
        <v>0</v>
      </c>
    </row>
    <row r="251" spans="2:22" outlineLevel="1">
      <c r="B251" s="1278" t="s">
        <v>1651</v>
      </c>
      <c r="C251" s="1279" t="s">
        <v>882</v>
      </c>
      <c r="D251" s="1280" t="s">
        <v>883</v>
      </c>
      <c r="E251" s="1310" t="s">
        <v>799</v>
      </c>
      <c r="F251" s="1281">
        <v>3471.2999999999997</v>
      </c>
      <c r="G251" s="1338"/>
      <c r="H251" s="1282">
        <f t="shared" si="45"/>
        <v>0</v>
      </c>
      <c r="I251" s="1338"/>
      <c r="J251" s="1282">
        <f t="shared" si="46"/>
        <v>0</v>
      </c>
      <c r="K251" s="1338"/>
      <c r="L251" s="1282">
        <f t="shared" si="47"/>
        <v>0</v>
      </c>
      <c r="M251" s="1338"/>
      <c r="N251" s="1282">
        <f t="shared" si="48"/>
        <v>0</v>
      </c>
      <c r="O251" s="1338"/>
      <c r="P251" s="1282">
        <f t="shared" si="49"/>
        <v>0</v>
      </c>
      <c r="Q251" s="1338"/>
      <c r="R251" s="1282">
        <f t="shared" si="50"/>
        <v>0</v>
      </c>
      <c r="S251" s="1338"/>
      <c r="T251" s="1283">
        <f t="shared" si="51"/>
        <v>0</v>
      </c>
      <c r="U251" s="1284">
        <f t="shared" si="52"/>
        <v>0</v>
      </c>
      <c r="V251" s="1285">
        <f t="shared" si="53"/>
        <v>0</v>
      </c>
    </row>
    <row r="252" spans="2:22" outlineLevel="1">
      <c r="B252" s="1278" t="s">
        <v>1652</v>
      </c>
      <c r="C252" s="1279" t="s">
        <v>882</v>
      </c>
      <c r="D252" s="1280" t="s">
        <v>883</v>
      </c>
      <c r="E252" s="1310" t="s">
        <v>800</v>
      </c>
      <c r="F252" s="1281">
        <v>3967.2</v>
      </c>
      <c r="G252" s="1338"/>
      <c r="H252" s="1282">
        <f t="shared" si="45"/>
        <v>0</v>
      </c>
      <c r="I252" s="1338"/>
      <c r="J252" s="1282">
        <f t="shared" si="46"/>
        <v>0</v>
      </c>
      <c r="K252" s="1338"/>
      <c r="L252" s="1282">
        <f t="shared" si="47"/>
        <v>0</v>
      </c>
      <c r="M252" s="1338"/>
      <c r="N252" s="1282">
        <f t="shared" si="48"/>
        <v>0</v>
      </c>
      <c r="O252" s="1338"/>
      <c r="P252" s="1282">
        <f t="shared" si="49"/>
        <v>0</v>
      </c>
      <c r="Q252" s="1338"/>
      <c r="R252" s="1282">
        <f t="shared" si="50"/>
        <v>0</v>
      </c>
      <c r="S252" s="1338"/>
      <c r="T252" s="1283">
        <f t="shared" si="51"/>
        <v>0</v>
      </c>
      <c r="U252" s="1284">
        <f t="shared" si="52"/>
        <v>0</v>
      </c>
      <c r="V252" s="1285">
        <f t="shared" si="53"/>
        <v>0</v>
      </c>
    </row>
    <row r="253" spans="2:22" outlineLevel="1">
      <c r="B253" s="1278" t="s">
        <v>1653</v>
      </c>
      <c r="C253" s="1279" t="s">
        <v>882</v>
      </c>
      <c r="D253" s="1280" t="s">
        <v>883</v>
      </c>
      <c r="E253" s="1310" t="s">
        <v>801</v>
      </c>
      <c r="F253" s="1281">
        <v>4463.0999999999995</v>
      </c>
      <c r="G253" s="1338"/>
      <c r="H253" s="1282">
        <f t="shared" si="45"/>
        <v>0</v>
      </c>
      <c r="I253" s="1338"/>
      <c r="J253" s="1282">
        <f t="shared" si="46"/>
        <v>0</v>
      </c>
      <c r="K253" s="1338"/>
      <c r="L253" s="1282">
        <f t="shared" si="47"/>
        <v>0</v>
      </c>
      <c r="M253" s="1338"/>
      <c r="N253" s="1282">
        <f t="shared" si="48"/>
        <v>0</v>
      </c>
      <c r="O253" s="1338"/>
      <c r="P253" s="1282">
        <f t="shared" si="49"/>
        <v>0</v>
      </c>
      <c r="Q253" s="1338"/>
      <c r="R253" s="1282">
        <f t="shared" si="50"/>
        <v>0</v>
      </c>
      <c r="S253" s="1338"/>
      <c r="T253" s="1283">
        <f t="shared" si="51"/>
        <v>0</v>
      </c>
      <c r="U253" s="1284">
        <f t="shared" si="52"/>
        <v>0</v>
      </c>
      <c r="V253" s="1285">
        <f t="shared" si="53"/>
        <v>0</v>
      </c>
    </row>
    <row r="254" spans="2:22" outlineLevel="1">
      <c r="B254" s="1278" t="s">
        <v>1654</v>
      </c>
      <c r="C254" s="1279" t="s">
        <v>882</v>
      </c>
      <c r="D254" s="1280" t="s">
        <v>883</v>
      </c>
      <c r="E254" s="1310" t="s">
        <v>837</v>
      </c>
      <c r="F254" s="1281">
        <v>5206.95</v>
      </c>
      <c r="G254" s="1338"/>
      <c r="H254" s="1282">
        <f t="shared" si="45"/>
        <v>0</v>
      </c>
      <c r="I254" s="1338"/>
      <c r="J254" s="1282">
        <f t="shared" si="46"/>
        <v>0</v>
      </c>
      <c r="K254" s="1338"/>
      <c r="L254" s="1282">
        <f t="shared" si="47"/>
        <v>0</v>
      </c>
      <c r="M254" s="1338"/>
      <c r="N254" s="1282">
        <f t="shared" si="48"/>
        <v>0</v>
      </c>
      <c r="O254" s="1338"/>
      <c r="P254" s="1282">
        <f t="shared" si="49"/>
        <v>0</v>
      </c>
      <c r="Q254" s="1338"/>
      <c r="R254" s="1282">
        <f t="shared" si="50"/>
        <v>0</v>
      </c>
      <c r="S254" s="1338"/>
      <c r="T254" s="1283">
        <f t="shared" si="51"/>
        <v>0</v>
      </c>
      <c r="U254" s="1284">
        <f t="shared" si="52"/>
        <v>0</v>
      </c>
      <c r="V254" s="1285">
        <f t="shared" si="53"/>
        <v>0</v>
      </c>
    </row>
    <row r="255" spans="2:22" outlineLevel="1">
      <c r="B255" s="1278" t="s">
        <v>1655</v>
      </c>
      <c r="C255" s="1279" t="s">
        <v>882</v>
      </c>
      <c r="D255" s="1280" t="s">
        <v>883</v>
      </c>
      <c r="E255" s="1310" t="s">
        <v>838</v>
      </c>
      <c r="F255" s="1281">
        <v>6198.7499999999991</v>
      </c>
      <c r="G255" s="1338"/>
      <c r="H255" s="1282">
        <f t="shared" ref="H255:H317" si="54">F255*G255</f>
        <v>0</v>
      </c>
      <c r="I255" s="1338"/>
      <c r="J255" s="1282">
        <f t="shared" si="46"/>
        <v>0</v>
      </c>
      <c r="K255" s="1338"/>
      <c r="L255" s="1282">
        <f t="shared" si="47"/>
        <v>0</v>
      </c>
      <c r="M255" s="1338"/>
      <c r="N255" s="1282">
        <f t="shared" si="48"/>
        <v>0</v>
      </c>
      <c r="O255" s="1338"/>
      <c r="P255" s="1282">
        <f t="shared" si="49"/>
        <v>0</v>
      </c>
      <c r="Q255" s="1338"/>
      <c r="R255" s="1282">
        <f t="shared" si="50"/>
        <v>0</v>
      </c>
      <c r="S255" s="1338"/>
      <c r="T255" s="1283">
        <f t="shared" si="51"/>
        <v>0</v>
      </c>
      <c r="U255" s="1284">
        <f t="shared" si="52"/>
        <v>0</v>
      </c>
      <c r="V255" s="1285">
        <f t="shared" si="53"/>
        <v>0</v>
      </c>
    </row>
    <row r="256" spans="2:22" outlineLevel="1">
      <c r="B256" s="1278" t="s">
        <v>1656</v>
      </c>
      <c r="C256" s="1279" t="s">
        <v>882</v>
      </c>
      <c r="D256" s="1280" t="s">
        <v>883</v>
      </c>
      <c r="E256" s="1310" t="s">
        <v>839</v>
      </c>
      <c r="F256" s="1281">
        <v>7190.5499999999993</v>
      </c>
      <c r="G256" s="1338"/>
      <c r="H256" s="1282">
        <f t="shared" si="54"/>
        <v>0</v>
      </c>
      <c r="I256" s="1338"/>
      <c r="J256" s="1282">
        <f t="shared" ref="J256:J319" si="55">F256*I256</f>
        <v>0</v>
      </c>
      <c r="K256" s="1338"/>
      <c r="L256" s="1282">
        <f t="shared" ref="L256:L319" si="56">F256*K256</f>
        <v>0</v>
      </c>
      <c r="M256" s="1338"/>
      <c r="N256" s="1282">
        <f t="shared" ref="N256:N319" si="57">F256*M256</f>
        <v>0</v>
      </c>
      <c r="O256" s="1338"/>
      <c r="P256" s="1282">
        <f t="shared" ref="P256:P319" si="58">F256*O256</f>
        <v>0</v>
      </c>
      <c r="Q256" s="1338"/>
      <c r="R256" s="1282">
        <f t="shared" ref="R256:R319" si="59">F256*Q256</f>
        <v>0</v>
      </c>
      <c r="S256" s="1338"/>
      <c r="T256" s="1283">
        <f t="shared" ref="T256:T319" si="60">F256*S256</f>
        <v>0</v>
      </c>
      <c r="U256" s="1284">
        <f t="shared" si="52"/>
        <v>0</v>
      </c>
      <c r="V256" s="1285">
        <f t="shared" si="53"/>
        <v>0</v>
      </c>
    </row>
    <row r="257" spans="2:22" outlineLevel="1">
      <c r="B257" s="1278" t="s">
        <v>1657</v>
      </c>
      <c r="C257" s="1279" t="s">
        <v>882</v>
      </c>
      <c r="D257" s="1280" t="s">
        <v>883</v>
      </c>
      <c r="E257" s="1310" t="s">
        <v>840</v>
      </c>
      <c r="F257" s="1281">
        <v>8182.3499999999995</v>
      </c>
      <c r="G257" s="1338"/>
      <c r="H257" s="1282">
        <f t="shared" si="54"/>
        <v>0</v>
      </c>
      <c r="I257" s="1338"/>
      <c r="J257" s="1282">
        <f t="shared" si="55"/>
        <v>0</v>
      </c>
      <c r="K257" s="1338"/>
      <c r="L257" s="1282">
        <f t="shared" si="56"/>
        <v>0</v>
      </c>
      <c r="M257" s="1338"/>
      <c r="N257" s="1282">
        <f t="shared" si="57"/>
        <v>0</v>
      </c>
      <c r="O257" s="1338"/>
      <c r="P257" s="1282">
        <f t="shared" si="58"/>
        <v>0</v>
      </c>
      <c r="Q257" s="1338"/>
      <c r="R257" s="1282">
        <f t="shared" si="59"/>
        <v>0</v>
      </c>
      <c r="S257" s="1338"/>
      <c r="T257" s="1283">
        <f t="shared" si="60"/>
        <v>0</v>
      </c>
      <c r="U257" s="1284">
        <f t="shared" si="52"/>
        <v>0</v>
      </c>
      <c r="V257" s="1285">
        <f t="shared" si="53"/>
        <v>0</v>
      </c>
    </row>
    <row r="258" spans="2:22" outlineLevel="1">
      <c r="B258" s="1278" t="s">
        <v>1658</v>
      </c>
      <c r="C258" s="1279" t="s">
        <v>882</v>
      </c>
      <c r="D258" s="1280" t="s">
        <v>883</v>
      </c>
      <c r="E258" s="1310" t="s">
        <v>841</v>
      </c>
      <c r="F258" s="1281">
        <v>9174.15</v>
      </c>
      <c r="G258" s="1338"/>
      <c r="H258" s="1282">
        <f t="shared" si="54"/>
        <v>0</v>
      </c>
      <c r="I258" s="1338"/>
      <c r="J258" s="1282">
        <f t="shared" si="55"/>
        <v>0</v>
      </c>
      <c r="K258" s="1338"/>
      <c r="L258" s="1282">
        <f t="shared" si="56"/>
        <v>0</v>
      </c>
      <c r="M258" s="1338"/>
      <c r="N258" s="1282">
        <f t="shared" si="57"/>
        <v>0</v>
      </c>
      <c r="O258" s="1338"/>
      <c r="P258" s="1282">
        <f t="shared" si="58"/>
        <v>0</v>
      </c>
      <c r="Q258" s="1338"/>
      <c r="R258" s="1282">
        <f t="shared" si="59"/>
        <v>0</v>
      </c>
      <c r="S258" s="1338"/>
      <c r="T258" s="1283">
        <f t="shared" si="60"/>
        <v>0</v>
      </c>
      <c r="U258" s="1284">
        <f t="shared" si="52"/>
        <v>0</v>
      </c>
      <c r="V258" s="1285">
        <f t="shared" si="53"/>
        <v>0</v>
      </c>
    </row>
    <row r="259" spans="2:22" outlineLevel="1">
      <c r="B259" s="1278" t="s">
        <v>1659</v>
      </c>
      <c r="C259" s="1279" t="s">
        <v>882</v>
      </c>
      <c r="D259" s="1280" t="s">
        <v>883</v>
      </c>
      <c r="E259" s="1310" t="s">
        <v>886</v>
      </c>
      <c r="F259" s="1281">
        <v>10165.949999999999</v>
      </c>
      <c r="G259" s="1338"/>
      <c r="H259" s="1282">
        <f t="shared" si="54"/>
        <v>0</v>
      </c>
      <c r="I259" s="1338"/>
      <c r="J259" s="1282">
        <f t="shared" si="55"/>
        <v>0</v>
      </c>
      <c r="K259" s="1338"/>
      <c r="L259" s="1282">
        <f t="shared" si="56"/>
        <v>0</v>
      </c>
      <c r="M259" s="1338"/>
      <c r="N259" s="1282">
        <f t="shared" si="57"/>
        <v>0</v>
      </c>
      <c r="O259" s="1338"/>
      <c r="P259" s="1282">
        <f t="shared" si="58"/>
        <v>0</v>
      </c>
      <c r="Q259" s="1338"/>
      <c r="R259" s="1282">
        <f t="shared" si="59"/>
        <v>0</v>
      </c>
      <c r="S259" s="1338"/>
      <c r="T259" s="1283">
        <f t="shared" si="60"/>
        <v>0</v>
      </c>
      <c r="U259" s="1284">
        <f t="shared" si="52"/>
        <v>0</v>
      </c>
      <c r="V259" s="1285">
        <f t="shared" si="53"/>
        <v>0</v>
      </c>
    </row>
    <row r="260" spans="2:22" outlineLevel="1">
      <c r="B260" s="1278" t="s">
        <v>1660</v>
      </c>
      <c r="C260" s="1279" t="s">
        <v>882</v>
      </c>
      <c r="D260" s="1280" t="s">
        <v>883</v>
      </c>
      <c r="E260" s="1310" t="s">
        <v>887</v>
      </c>
      <c r="F260" s="1281">
        <v>13141.349999999999</v>
      </c>
      <c r="G260" s="1338"/>
      <c r="H260" s="1282">
        <f t="shared" si="54"/>
        <v>0</v>
      </c>
      <c r="I260" s="1338"/>
      <c r="J260" s="1282">
        <f t="shared" si="55"/>
        <v>0</v>
      </c>
      <c r="K260" s="1338"/>
      <c r="L260" s="1282">
        <f t="shared" si="56"/>
        <v>0</v>
      </c>
      <c r="M260" s="1338"/>
      <c r="N260" s="1282">
        <f t="shared" si="57"/>
        <v>0</v>
      </c>
      <c r="O260" s="1338"/>
      <c r="P260" s="1282">
        <f t="shared" si="58"/>
        <v>0</v>
      </c>
      <c r="Q260" s="1338"/>
      <c r="R260" s="1282">
        <f t="shared" si="59"/>
        <v>0</v>
      </c>
      <c r="S260" s="1338"/>
      <c r="T260" s="1283">
        <f t="shared" si="60"/>
        <v>0</v>
      </c>
      <c r="U260" s="1284">
        <f t="shared" si="52"/>
        <v>0</v>
      </c>
      <c r="V260" s="1285">
        <f t="shared" si="53"/>
        <v>0</v>
      </c>
    </row>
    <row r="261" spans="2:22" outlineLevel="1">
      <c r="B261" s="1278" t="s">
        <v>1661</v>
      </c>
      <c r="C261" s="1279" t="s">
        <v>882</v>
      </c>
      <c r="D261" s="1280" t="s">
        <v>883</v>
      </c>
      <c r="E261" s="1310" t="s">
        <v>888</v>
      </c>
      <c r="F261" s="1281">
        <v>18100.349999999999</v>
      </c>
      <c r="G261" s="1338"/>
      <c r="H261" s="1282">
        <f t="shared" si="54"/>
        <v>0</v>
      </c>
      <c r="I261" s="1338"/>
      <c r="J261" s="1282">
        <f t="shared" si="55"/>
        <v>0</v>
      </c>
      <c r="K261" s="1338"/>
      <c r="L261" s="1282">
        <f t="shared" si="56"/>
        <v>0</v>
      </c>
      <c r="M261" s="1338"/>
      <c r="N261" s="1282">
        <f t="shared" si="57"/>
        <v>0</v>
      </c>
      <c r="O261" s="1338"/>
      <c r="P261" s="1282">
        <f t="shared" si="58"/>
        <v>0</v>
      </c>
      <c r="Q261" s="1338"/>
      <c r="R261" s="1282">
        <f t="shared" si="59"/>
        <v>0</v>
      </c>
      <c r="S261" s="1338"/>
      <c r="T261" s="1283">
        <f t="shared" si="60"/>
        <v>0</v>
      </c>
      <c r="U261" s="1284">
        <f t="shared" si="52"/>
        <v>0</v>
      </c>
      <c r="V261" s="1285">
        <f t="shared" si="53"/>
        <v>0</v>
      </c>
    </row>
    <row r="262" spans="2:22" outlineLevel="1">
      <c r="B262" s="1278" t="s">
        <v>1662</v>
      </c>
      <c r="C262" s="1279" t="s">
        <v>882</v>
      </c>
      <c r="D262" s="1280" t="s">
        <v>883</v>
      </c>
      <c r="E262" s="1310" t="s">
        <v>889</v>
      </c>
      <c r="F262" s="1281">
        <v>23059.35</v>
      </c>
      <c r="G262" s="1338"/>
      <c r="H262" s="1282">
        <f t="shared" si="54"/>
        <v>0</v>
      </c>
      <c r="I262" s="1338"/>
      <c r="J262" s="1282">
        <f t="shared" si="55"/>
        <v>0</v>
      </c>
      <c r="K262" s="1338"/>
      <c r="L262" s="1282">
        <f t="shared" si="56"/>
        <v>0</v>
      </c>
      <c r="M262" s="1338"/>
      <c r="N262" s="1282">
        <f t="shared" si="57"/>
        <v>0</v>
      </c>
      <c r="O262" s="1338"/>
      <c r="P262" s="1282">
        <f t="shared" si="58"/>
        <v>0</v>
      </c>
      <c r="Q262" s="1338"/>
      <c r="R262" s="1282">
        <f t="shared" si="59"/>
        <v>0</v>
      </c>
      <c r="S262" s="1338"/>
      <c r="T262" s="1283">
        <f t="shared" si="60"/>
        <v>0</v>
      </c>
      <c r="U262" s="1284">
        <f t="shared" si="52"/>
        <v>0</v>
      </c>
      <c r="V262" s="1285">
        <f t="shared" si="53"/>
        <v>0</v>
      </c>
    </row>
    <row r="263" spans="2:22" outlineLevel="1">
      <c r="B263" s="1278" t="s">
        <v>1663</v>
      </c>
      <c r="C263" s="1279" t="s">
        <v>882</v>
      </c>
      <c r="D263" s="1280" t="s">
        <v>883</v>
      </c>
      <c r="E263" s="1310" t="s">
        <v>890</v>
      </c>
      <c r="F263" s="1281">
        <v>28018.35</v>
      </c>
      <c r="G263" s="1338"/>
      <c r="H263" s="1282">
        <f t="shared" si="54"/>
        <v>0</v>
      </c>
      <c r="I263" s="1338"/>
      <c r="J263" s="1282">
        <f t="shared" si="55"/>
        <v>0</v>
      </c>
      <c r="K263" s="1338"/>
      <c r="L263" s="1282">
        <f t="shared" si="56"/>
        <v>0</v>
      </c>
      <c r="M263" s="1338"/>
      <c r="N263" s="1282">
        <f t="shared" si="57"/>
        <v>0</v>
      </c>
      <c r="O263" s="1338"/>
      <c r="P263" s="1282">
        <f t="shared" si="58"/>
        <v>0</v>
      </c>
      <c r="Q263" s="1338"/>
      <c r="R263" s="1282">
        <f t="shared" si="59"/>
        <v>0</v>
      </c>
      <c r="S263" s="1338"/>
      <c r="T263" s="1283">
        <f t="shared" si="60"/>
        <v>0</v>
      </c>
      <c r="U263" s="1284">
        <f t="shared" si="52"/>
        <v>0</v>
      </c>
      <c r="V263" s="1285">
        <f t="shared" si="53"/>
        <v>0</v>
      </c>
    </row>
    <row r="264" spans="2:22" outlineLevel="1">
      <c r="B264" s="1278" t="s">
        <v>1664</v>
      </c>
      <c r="C264" s="1279" t="s">
        <v>882</v>
      </c>
      <c r="D264" s="1280" t="s">
        <v>883</v>
      </c>
      <c r="E264" s="1310" t="s">
        <v>891</v>
      </c>
      <c r="F264" s="1281">
        <v>36696.6</v>
      </c>
      <c r="G264" s="1338"/>
      <c r="H264" s="1282">
        <f t="shared" si="54"/>
        <v>0</v>
      </c>
      <c r="I264" s="1338"/>
      <c r="J264" s="1282">
        <f t="shared" si="55"/>
        <v>0</v>
      </c>
      <c r="K264" s="1338"/>
      <c r="L264" s="1282">
        <f t="shared" si="56"/>
        <v>0</v>
      </c>
      <c r="M264" s="1338"/>
      <c r="N264" s="1282">
        <f t="shared" si="57"/>
        <v>0</v>
      </c>
      <c r="O264" s="1338"/>
      <c r="P264" s="1282">
        <f t="shared" si="58"/>
        <v>0</v>
      </c>
      <c r="Q264" s="1338"/>
      <c r="R264" s="1282">
        <f t="shared" si="59"/>
        <v>0</v>
      </c>
      <c r="S264" s="1338"/>
      <c r="T264" s="1283">
        <f t="shared" si="60"/>
        <v>0</v>
      </c>
      <c r="U264" s="1284">
        <f t="shared" si="52"/>
        <v>0</v>
      </c>
      <c r="V264" s="1285">
        <f t="shared" si="53"/>
        <v>0</v>
      </c>
    </row>
    <row r="265" spans="2:22" outlineLevel="1">
      <c r="B265" s="1278" t="s">
        <v>1665</v>
      </c>
      <c r="C265" s="1279" t="s">
        <v>882</v>
      </c>
      <c r="D265" s="1280" t="s">
        <v>883</v>
      </c>
      <c r="E265" s="1310" t="s">
        <v>892</v>
      </c>
      <c r="F265" s="1281">
        <v>49094.1</v>
      </c>
      <c r="G265" s="1338"/>
      <c r="H265" s="1282">
        <f t="shared" si="54"/>
        <v>0</v>
      </c>
      <c r="I265" s="1338"/>
      <c r="J265" s="1282">
        <f t="shared" si="55"/>
        <v>0</v>
      </c>
      <c r="K265" s="1338"/>
      <c r="L265" s="1282">
        <f t="shared" si="56"/>
        <v>0</v>
      </c>
      <c r="M265" s="1338"/>
      <c r="N265" s="1282">
        <f t="shared" si="57"/>
        <v>0</v>
      </c>
      <c r="O265" s="1338"/>
      <c r="P265" s="1282">
        <f t="shared" si="58"/>
        <v>0</v>
      </c>
      <c r="Q265" s="1338"/>
      <c r="R265" s="1282">
        <f t="shared" si="59"/>
        <v>0</v>
      </c>
      <c r="S265" s="1338"/>
      <c r="T265" s="1283">
        <f t="shared" si="60"/>
        <v>0</v>
      </c>
      <c r="U265" s="1284">
        <f t="shared" si="52"/>
        <v>0</v>
      </c>
      <c r="V265" s="1285">
        <f t="shared" si="53"/>
        <v>0</v>
      </c>
    </row>
    <row r="266" spans="2:22" outlineLevel="1">
      <c r="B266" s="1278" t="s">
        <v>1666</v>
      </c>
      <c r="C266" s="1279" t="s">
        <v>882</v>
      </c>
      <c r="D266" s="1280" t="s">
        <v>883</v>
      </c>
      <c r="E266" s="1310" t="s">
        <v>893</v>
      </c>
      <c r="F266" s="1281">
        <v>61491.6</v>
      </c>
      <c r="G266" s="1338"/>
      <c r="H266" s="1282">
        <f t="shared" si="54"/>
        <v>0</v>
      </c>
      <c r="I266" s="1338"/>
      <c r="J266" s="1282">
        <f t="shared" si="55"/>
        <v>0</v>
      </c>
      <c r="K266" s="1338"/>
      <c r="L266" s="1282">
        <f t="shared" si="56"/>
        <v>0</v>
      </c>
      <c r="M266" s="1338"/>
      <c r="N266" s="1282">
        <f t="shared" si="57"/>
        <v>0</v>
      </c>
      <c r="O266" s="1338"/>
      <c r="P266" s="1282">
        <f t="shared" si="58"/>
        <v>0</v>
      </c>
      <c r="Q266" s="1338"/>
      <c r="R266" s="1282">
        <f t="shared" si="59"/>
        <v>0</v>
      </c>
      <c r="S266" s="1338"/>
      <c r="T266" s="1283">
        <f t="shared" si="60"/>
        <v>0</v>
      </c>
      <c r="U266" s="1284">
        <f t="shared" si="52"/>
        <v>0</v>
      </c>
      <c r="V266" s="1285">
        <f t="shared" si="53"/>
        <v>0</v>
      </c>
    </row>
    <row r="267" spans="2:22" outlineLevel="1">
      <c r="B267" s="1278" t="s">
        <v>1667</v>
      </c>
      <c r="C267" s="1279" t="s">
        <v>882</v>
      </c>
      <c r="D267" s="1280" t="s">
        <v>883</v>
      </c>
      <c r="E267" s="1310" t="s">
        <v>894</v>
      </c>
      <c r="F267" s="1281">
        <v>80087.849999999991</v>
      </c>
      <c r="G267" s="1338"/>
      <c r="H267" s="1282">
        <f t="shared" si="54"/>
        <v>0</v>
      </c>
      <c r="I267" s="1338"/>
      <c r="J267" s="1282">
        <f t="shared" si="55"/>
        <v>0</v>
      </c>
      <c r="K267" s="1338"/>
      <c r="L267" s="1282">
        <f t="shared" si="56"/>
        <v>0</v>
      </c>
      <c r="M267" s="1338"/>
      <c r="N267" s="1282">
        <f t="shared" si="57"/>
        <v>0</v>
      </c>
      <c r="O267" s="1338"/>
      <c r="P267" s="1282">
        <f t="shared" si="58"/>
        <v>0</v>
      </c>
      <c r="Q267" s="1338"/>
      <c r="R267" s="1282">
        <f t="shared" si="59"/>
        <v>0</v>
      </c>
      <c r="S267" s="1338"/>
      <c r="T267" s="1283">
        <f t="shared" si="60"/>
        <v>0</v>
      </c>
      <c r="U267" s="1284">
        <f t="shared" si="52"/>
        <v>0</v>
      </c>
      <c r="V267" s="1285">
        <f t="shared" si="53"/>
        <v>0</v>
      </c>
    </row>
    <row r="268" spans="2:22" outlineLevel="1">
      <c r="B268" s="1278" t="s">
        <v>1668</v>
      </c>
      <c r="C268" s="1279" t="s">
        <v>882</v>
      </c>
      <c r="D268" s="1280" t="s">
        <v>883</v>
      </c>
      <c r="E268" s="1310" t="s">
        <v>895</v>
      </c>
      <c r="F268" s="1281">
        <v>104882.84999999999</v>
      </c>
      <c r="G268" s="1338"/>
      <c r="H268" s="1282">
        <f t="shared" si="54"/>
        <v>0</v>
      </c>
      <c r="I268" s="1338"/>
      <c r="J268" s="1282">
        <f t="shared" si="55"/>
        <v>0</v>
      </c>
      <c r="K268" s="1338"/>
      <c r="L268" s="1282">
        <f t="shared" si="56"/>
        <v>0</v>
      </c>
      <c r="M268" s="1338"/>
      <c r="N268" s="1282">
        <f t="shared" si="57"/>
        <v>0</v>
      </c>
      <c r="O268" s="1338"/>
      <c r="P268" s="1282">
        <f t="shared" si="58"/>
        <v>0</v>
      </c>
      <c r="Q268" s="1338"/>
      <c r="R268" s="1282">
        <f t="shared" si="59"/>
        <v>0</v>
      </c>
      <c r="S268" s="1338"/>
      <c r="T268" s="1283">
        <f t="shared" si="60"/>
        <v>0</v>
      </c>
      <c r="U268" s="1284">
        <f t="shared" si="52"/>
        <v>0</v>
      </c>
      <c r="V268" s="1285">
        <f t="shared" si="53"/>
        <v>0</v>
      </c>
    </row>
    <row r="269" spans="2:22" outlineLevel="1">
      <c r="B269" s="1278" t="s">
        <v>1669</v>
      </c>
      <c r="C269" s="1279" t="s">
        <v>882</v>
      </c>
      <c r="D269" s="1280" t="s">
        <v>883</v>
      </c>
      <c r="E269" s="1310" t="s">
        <v>896</v>
      </c>
      <c r="F269" s="1281">
        <v>129677.84999999999</v>
      </c>
      <c r="G269" s="1338"/>
      <c r="H269" s="1282">
        <f t="shared" si="54"/>
        <v>0</v>
      </c>
      <c r="I269" s="1338"/>
      <c r="J269" s="1282">
        <f t="shared" si="55"/>
        <v>0</v>
      </c>
      <c r="K269" s="1338"/>
      <c r="L269" s="1282">
        <f t="shared" si="56"/>
        <v>0</v>
      </c>
      <c r="M269" s="1338"/>
      <c r="N269" s="1282">
        <f t="shared" si="57"/>
        <v>0</v>
      </c>
      <c r="O269" s="1338"/>
      <c r="P269" s="1282">
        <f t="shared" si="58"/>
        <v>0</v>
      </c>
      <c r="Q269" s="1338"/>
      <c r="R269" s="1282">
        <f t="shared" si="59"/>
        <v>0</v>
      </c>
      <c r="S269" s="1338"/>
      <c r="T269" s="1283">
        <f t="shared" si="60"/>
        <v>0</v>
      </c>
      <c r="U269" s="1284">
        <f t="shared" si="52"/>
        <v>0</v>
      </c>
      <c r="V269" s="1285">
        <f t="shared" si="53"/>
        <v>0</v>
      </c>
    </row>
    <row r="270" spans="2:22" outlineLevel="1">
      <c r="B270" s="1278" t="s">
        <v>1670</v>
      </c>
      <c r="C270" s="1279" t="s">
        <v>882</v>
      </c>
      <c r="D270" s="1280" t="s">
        <v>883</v>
      </c>
      <c r="E270" s="1310" t="s">
        <v>897</v>
      </c>
      <c r="F270" s="1281">
        <v>154472.84999999998</v>
      </c>
      <c r="G270" s="1338"/>
      <c r="H270" s="1282">
        <f t="shared" si="54"/>
        <v>0</v>
      </c>
      <c r="I270" s="1338"/>
      <c r="J270" s="1282">
        <f t="shared" si="55"/>
        <v>0</v>
      </c>
      <c r="K270" s="1338"/>
      <c r="L270" s="1282">
        <f t="shared" si="56"/>
        <v>0</v>
      </c>
      <c r="M270" s="1338"/>
      <c r="N270" s="1282">
        <f t="shared" si="57"/>
        <v>0</v>
      </c>
      <c r="O270" s="1338"/>
      <c r="P270" s="1282">
        <f t="shared" si="58"/>
        <v>0</v>
      </c>
      <c r="Q270" s="1338"/>
      <c r="R270" s="1282">
        <f t="shared" si="59"/>
        <v>0</v>
      </c>
      <c r="S270" s="1338"/>
      <c r="T270" s="1283">
        <f t="shared" si="60"/>
        <v>0</v>
      </c>
      <c r="U270" s="1284">
        <f t="shared" si="52"/>
        <v>0</v>
      </c>
      <c r="V270" s="1285">
        <f t="shared" si="53"/>
        <v>0</v>
      </c>
    </row>
    <row r="271" spans="2:22" outlineLevel="1">
      <c r="B271" s="1278" t="s">
        <v>1671</v>
      </c>
      <c r="C271" s="1279" t="s">
        <v>882</v>
      </c>
      <c r="D271" s="1280" t="s">
        <v>883</v>
      </c>
      <c r="E271" s="1310" t="s">
        <v>898</v>
      </c>
      <c r="F271" s="1281">
        <v>179267.84999999998</v>
      </c>
      <c r="G271" s="1338"/>
      <c r="H271" s="1282">
        <f t="shared" si="54"/>
        <v>0</v>
      </c>
      <c r="I271" s="1338"/>
      <c r="J271" s="1282">
        <f t="shared" si="55"/>
        <v>0</v>
      </c>
      <c r="K271" s="1338"/>
      <c r="L271" s="1282">
        <f t="shared" si="56"/>
        <v>0</v>
      </c>
      <c r="M271" s="1338"/>
      <c r="N271" s="1282">
        <f t="shared" si="57"/>
        <v>0</v>
      </c>
      <c r="O271" s="1338"/>
      <c r="P271" s="1282">
        <f t="shared" si="58"/>
        <v>0</v>
      </c>
      <c r="Q271" s="1338"/>
      <c r="R271" s="1282">
        <f t="shared" si="59"/>
        <v>0</v>
      </c>
      <c r="S271" s="1338"/>
      <c r="T271" s="1283">
        <f t="shared" si="60"/>
        <v>0</v>
      </c>
      <c r="U271" s="1284">
        <f t="shared" si="52"/>
        <v>0</v>
      </c>
      <c r="V271" s="1285">
        <f t="shared" si="53"/>
        <v>0</v>
      </c>
    </row>
    <row r="272" spans="2:22" outlineLevel="1">
      <c r="B272" s="1278" t="s">
        <v>1672</v>
      </c>
      <c r="C272" s="1279" t="s">
        <v>882</v>
      </c>
      <c r="D272" s="1280" t="s">
        <v>883</v>
      </c>
      <c r="E272" s="1310" t="s">
        <v>899</v>
      </c>
      <c r="F272" s="1281">
        <v>204062.84999999998</v>
      </c>
      <c r="G272" s="1338"/>
      <c r="H272" s="1282">
        <f t="shared" si="54"/>
        <v>0</v>
      </c>
      <c r="I272" s="1338"/>
      <c r="J272" s="1282">
        <f t="shared" si="55"/>
        <v>0</v>
      </c>
      <c r="K272" s="1338"/>
      <c r="L272" s="1282">
        <f t="shared" si="56"/>
        <v>0</v>
      </c>
      <c r="M272" s="1338"/>
      <c r="N272" s="1282">
        <f t="shared" si="57"/>
        <v>0</v>
      </c>
      <c r="O272" s="1338"/>
      <c r="P272" s="1282">
        <f t="shared" si="58"/>
        <v>0</v>
      </c>
      <c r="Q272" s="1338"/>
      <c r="R272" s="1282">
        <f t="shared" si="59"/>
        <v>0</v>
      </c>
      <c r="S272" s="1338"/>
      <c r="T272" s="1283">
        <f t="shared" si="60"/>
        <v>0</v>
      </c>
      <c r="U272" s="1284">
        <f t="shared" si="52"/>
        <v>0</v>
      </c>
      <c r="V272" s="1285">
        <f t="shared" si="53"/>
        <v>0</v>
      </c>
    </row>
    <row r="273" spans="2:22" outlineLevel="1">
      <c r="B273" s="1278" t="s">
        <v>1673</v>
      </c>
      <c r="C273" s="1279" t="s">
        <v>882</v>
      </c>
      <c r="D273" s="1280" t="s">
        <v>883</v>
      </c>
      <c r="E273" s="1310" t="s">
        <v>900</v>
      </c>
      <c r="F273" s="1281">
        <v>228857.84999999998</v>
      </c>
      <c r="G273" s="1338"/>
      <c r="H273" s="1282">
        <f t="shared" si="54"/>
        <v>0</v>
      </c>
      <c r="I273" s="1338"/>
      <c r="J273" s="1282">
        <f t="shared" si="55"/>
        <v>0</v>
      </c>
      <c r="K273" s="1338"/>
      <c r="L273" s="1282">
        <f t="shared" si="56"/>
        <v>0</v>
      </c>
      <c r="M273" s="1338"/>
      <c r="N273" s="1282">
        <f t="shared" si="57"/>
        <v>0</v>
      </c>
      <c r="O273" s="1338"/>
      <c r="P273" s="1282">
        <f t="shared" si="58"/>
        <v>0</v>
      </c>
      <c r="Q273" s="1338"/>
      <c r="R273" s="1282">
        <f t="shared" si="59"/>
        <v>0</v>
      </c>
      <c r="S273" s="1338"/>
      <c r="T273" s="1283">
        <f t="shared" si="60"/>
        <v>0</v>
      </c>
      <c r="U273" s="1284">
        <f t="shared" si="52"/>
        <v>0</v>
      </c>
      <c r="V273" s="1285">
        <f t="shared" si="53"/>
        <v>0</v>
      </c>
    </row>
    <row r="274" spans="2:22" ht="12.75" customHeight="1">
      <c r="B274" s="1270" t="s">
        <v>2012</v>
      </c>
      <c r="C274" s="1254" t="s">
        <v>901</v>
      </c>
      <c r="D274" s="1254"/>
      <c r="E274" s="1255"/>
      <c r="F274" s="1302"/>
      <c r="G274" s="1339"/>
      <c r="H274" s="1296"/>
      <c r="I274" s="1339"/>
      <c r="J274" s="1296"/>
      <c r="K274" s="1339"/>
      <c r="L274" s="1296"/>
      <c r="M274" s="1339"/>
      <c r="N274" s="1296"/>
      <c r="O274" s="1339"/>
      <c r="P274" s="1296"/>
      <c r="Q274" s="1339"/>
      <c r="R274" s="1296"/>
      <c r="S274" s="1339"/>
      <c r="T274" s="1296"/>
      <c r="U274" s="1297"/>
      <c r="V274" s="1298"/>
    </row>
    <row r="275" spans="2:22" outlineLevel="1">
      <c r="B275" s="1278" t="s">
        <v>1674</v>
      </c>
      <c r="C275" s="1278" t="s">
        <v>901</v>
      </c>
      <c r="D275" s="1286" t="s">
        <v>902</v>
      </c>
      <c r="E275" s="1291" t="s">
        <v>903</v>
      </c>
      <c r="F275" s="1281">
        <v>438.49</v>
      </c>
      <c r="G275" s="1338"/>
      <c r="H275" s="1282">
        <f t="shared" si="54"/>
        <v>0</v>
      </c>
      <c r="I275" s="1338"/>
      <c r="J275" s="1282">
        <f t="shared" si="55"/>
        <v>0</v>
      </c>
      <c r="K275" s="1338"/>
      <c r="L275" s="1282">
        <f t="shared" si="56"/>
        <v>0</v>
      </c>
      <c r="M275" s="1338"/>
      <c r="N275" s="1282">
        <f t="shared" si="57"/>
        <v>0</v>
      </c>
      <c r="O275" s="1338"/>
      <c r="P275" s="1282">
        <f t="shared" si="58"/>
        <v>0</v>
      </c>
      <c r="Q275" s="1338"/>
      <c r="R275" s="1282">
        <f t="shared" si="59"/>
        <v>0</v>
      </c>
      <c r="S275" s="1338"/>
      <c r="T275" s="1283">
        <f t="shared" si="60"/>
        <v>0</v>
      </c>
      <c r="U275" s="1284">
        <f t="shared" si="52"/>
        <v>0</v>
      </c>
      <c r="V275" s="1285">
        <f t="shared" si="53"/>
        <v>0</v>
      </c>
    </row>
    <row r="276" spans="2:22" outlineLevel="1">
      <c r="B276" s="1278" t="s">
        <v>1675</v>
      </c>
      <c r="C276" s="1278" t="s">
        <v>901</v>
      </c>
      <c r="D276" s="1286" t="s">
        <v>902</v>
      </c>
      <c r="E276" s="1291" t="s">
        <v>904</v>
      </c>
      <c r="F276" s="1281">
        <v>677.66</v>
      </c>
      <c r="G276" s="1338"/>
      <c r="H276" s="1282">
        <f t="shared" si="54"/>
        <v>0</v>
      </c>
      <c r="I276" s="1338"/>
      <c r="J276" s="1282">
        <f t="shared" si="55"/>
        <v>0</v>
      </c>
      <c r="K276" s="1338"/>
      <c r="L276" s="1282">
        <f t="shared" si="56"/>
        <v>0</v>
      </c>
      <c r="M276" s="1338"/>
      <c r="N276" s="1282">
        <f t="shared" si="57"/>
        <v>0</v>
      </c>
      <c r="O276" s="1338"/>
      <c r="P276" s="1282">
        <f t="shared" si="58"/>
        <v>0</v>
      </c>
      <c r="Q276" s="1338"/>
      <c r="R276" s="1282">
        <f t="shared" si="59"/>
        <v>0</v>
      </c>
      <c r="S276" s="1338"/>
      <c r="T276" s="1283">
        <f t="shared" si="60"/>
        <v>0</v>
      </c>
      <c r="U276" s="1284">
        <f t="shared" si="52"/>
        <v>0</v>
      </c>
      <c r="V276" s="1285">
        <f t="shared" si="53"/>
        <v>0</v>
      </c>
    </row>
    <row r="277" spans="2:22" outlineLevel="1">
      <c r="B277" s="1278" t="s">
        <v>1676</v>
      </c>
      <c r="C277" s="1278" t="s">
        <v>901</v>
      </c>
      <c r="D277" s="1286" t="s">
        <v>902</v>
      </c>
      <c r="E277" s="1291" t="s">
        <v>905</v>
      </c>
      <c r="F277" s="1281">
        <v>956.7</v>
      </c>
      <c r="G277" s="1338"/>
      <c r="H277" s="1282">
        <f t="shared" si="54"/>
        <v>0</v>
      </c>
      <c r="I277" s="1338"/>
      <c r="J277" s="1282">
        <f t="shared" si="55"/>
        <v>0</v>
      </c>
      <c r="K277" s="1338"/>
      <c r="L277" s="1282">
        <f t="shared" si="56"/>
        <v>0</v>
      </c>
      <c r="M277" s="1338"/>
      <c r="N277" s="1282">
        <f t="shared" si="57"/>
        <v>0</v>
      </c>
      <c r="O277" s="1338"/>
      <c r="P277" s="1282">
        <f t="shared" si="58"/>
        <v>0</v>
      </c>
      <c r="Q277" s="1338"/>
      <c r="R277" s="1282">
        <f t="shared" si="59"/>
        <v>0</v>
      </c>
      <c r="S277" s="1338"/>
      <c r="T277" s="1283">
        <f t="shared" si="60"/>
        <v>0</v>
      </c>
      <c r="U277" s="1284">
        <f t="shared" si="52"/>
        <v>0</v>
      </c>
      <c r="V277" s="1285">
        <f t="shared" si="53"/>
        <v>0</v>
      </c>
    </row>
    <row r="278" spans="2:22" outlineLevel="1">
      <c r="B278" s="1278" t="s">
        <v>1677</v>
      </c>
      <c r="C278" s="1278" t="s">
        <v>901</v>
      </c>
      <c r="D278" s="1286" t="s">
        <v>902</v>
      </c>
      <c r="E278" s="1291" t="s">
        <v>906</v>
      </c>
      <c r="F278" s="1281">
        <v>1275.6000000000001</v>
      </c>
      <c r="G278" s="1338"/>
      <c r="H278" s="1282">
        <f t="shared" si="54"/>
        <v>0</v>
      </c>
      <c r="I278" s="1338"/>
      <c r="J278" s="1282">
        <f t="shared" si="55"/>
        <v>0</v>
      </c>
      <c r="K278" s="1338"/>
      <c r="L278" s="1282">
        <f t="shared" si="56"/>
        <v>0</v>
      </c>
      <c r="M278" s="1338"/>
      <c r="N278" s="1282">
        <f t="shared" si="57"/>
        <v>0</v>
      </c>
      <c r="O278" s="1338"/>
      <c r="P278" s="1282">
        <f t="shared" si="58"/>
        <v>0</v>
      </c>
      <c r="Q278" s="1338"/>
      <c r="R278" s="1282">
        <f t="shared" si="59"/>
        <v>0</v>
      </c>
      <c r="S278" s="1338"/>
      <c r="T278" s="1283">
        <f t="shared" si="60"/>
        <v>0</v>
      </c>
      <c r="U278" s="1284">
        <f t="shared" si="52"/>
        <v>0</v>
      </c>
      <c r="V278" s="1285">
        <f t="shared" si="53"/>
        <v>0</v>
      </c>
    </row>
    <row r="279" spans="2:22" outlineLevel="1">
      <c r="B279" s="1278" t="s">
        <v>1678</v>
      </c>
      <c r="C279" s="1278" t="s">
        <v>901</v>
      </c>
      <c r="D279" s="1286" t="s">
        <v>902</v>
      </c>
      <c r="E279" s="1291" t="s">
        <v>907</v>
      </c>
      <c r="F279" s="1281">
        <v>1753.95</v>
      </c>
      <c r="G279" s="1338"/>
      <c r="H279" s="1282">
        <f t="shared" si="54"/>
        <v>0</v>
      </c>
      <c r="I279" s="1338"/>
      <c r="J279" s="1282">
        <f t="shared" si="55"/>
        <v>0</v>
      </c>
      <c r="K279" s="1338"/>
      <c r="L279" s="1282">
        <f t="shared" si="56"/>
        <v>0</v>
      </c>
      <c r="M279" s="1338"/>
      <c r="N279" s="1282">
        <f t="shared" si="57"/>
        <v>0</v>
      </c>
      <c r="O279" s="1338"/>
      <c r="P279" s="1282">
        <f t="shared" si="58"/>
        <v>0</v>
      </c>
      <c r="Q279" s="1338"/>
      <c r="R279" s="1282">
        <f t="shared" si="59"/>
        <v>0</v>
      </c>
      <c r="S279" s="1338"/>
      <c r="T279" s="1283">
        <f t="shared" si="60"/>
        <v>0</v>
      </c>
      <c r="U279" s="1284">
        <f t="shared" si="52"/>
        <v>0</v>
      </c>
      <c r="V279" s="1285">
        <f t="shared" si="53"/>
        <v>0</v>
      </c>
    </row>
    <row r="280" spans="2:22" outlineLevel="1">
      <c r="B280" s="1278" t="s">
        <v>1679</v>
      </c>
      <c r="C280" s="1278" t="s">
        <v>901</v>
      </c>
      <c r="D280" s="1286" t="s">
        <v>902</v>
      </c>
      <c r="E280" s="1291" t="s">
        <v>908</v>
      </c>
      <c r="F280" s="1281">
        <v>2391.75</v>
      </c>
      <c r="G280" s="1338"/>
      <c r="H280" s="1282">
        <f t="shared" si="54"/>
        <v>0</v>
      </c>
      <c r="I280" s="1338"/>
      <c r="J280" s="1282">
        <f t="shared" si="55"/>
        <v>0</v>
      </c>
      <c r="K280" s="1338"/>
      <c r="L280" s="1282">
        <f t="shared" si="56"/>
        <v>0</v>
      </c>
      <c r="M280" s="1338"/>
      <c r="N280" s="1282">
        <f t="shared" si="57"/>
        <v>0</v>
      </c>
      <c r="O280" s="1338"/>
      <c r="P280" s="1282">
        <f t="shared" si="58"/>
        <v>0</v>
      </c>
      <c r="Q280" s="1338"/>
      <c r="R280" s="1282">
        <f t="shared" si="59"/>
        <v>0</v>
      </c>
      <c r="S280" s="1338"/>
      <c r="T280" s="1283">
        <f t="shared" si="60"/>
        <v>0</v>
      </c>
      <c r="U280" s="1284">
        <f t="shared" si="52"/>
        <v>0</v>
      </c>
      <c r="V280" s="1285">
        <f t="shared" si="53"/>
        <v>0</v>
      </c>
    </row>
    <row r="281" spans="2:22" outlineLevel="1">
      <c r="B281" s="1278" t="s">
        <v>1680</v>
      </c>
      <c r="C281" s="1278" t="s">
        <v>901</v>
      </c>
      <c r="D281" s="1286" t="s">
        <v>902</v>
      </c>
      <c r="E281" s="1291" t="s">
        <v>909</v>
      </c>
      <c r="F281" s="1281">
        <v>3029.55</v>
      </c>
      <c r="G281" s="1338"/>
      <c r="H281" s="1282">
        <f t="shared" si="54"/>
        <v>0</v>
      </c>
      <c r="I281" s="1338"/>
      <c r="J281" s="1282">
        <f t="shared" si="55"/>
        <v>0</v>
      </c>
      <c r="K281" s="1338"/>
      <c r="L281" s="1282">
        <f t="shared" si="56"/>
        <v>0</v>
      </c>
      <c r="M281" s="1338"/>
      <c r="N281" s="1282">
        <f t="shared" si="57"/>
        <v>0</v>
      </c>
      <c r="O281" s="1338"/>
      <c r="P281" s="1282">
        <f t="shared" si="58"/>
        <v>0</v>
      </c>
      <c r="Q281" s="1338"/>
      <c r="R281" s="1282">
        <f t="shared" si="59"/>
        <v>0</v>
      </c>
      <c r="S281" s="1338"/>
      <c r="T281" s="1283">
        <f t="shared" si="60"/>
        <v>0</v>
      </c>
      <c r="U281" s="1284">
        <f t="shared" si="52"/>
        <v>0</v>
      </c>
      <c r="V281" s="1285">
        <f t="shared" si="53"/>
        <v>0</v>
      </c>
    </row>
    <row r="282" spans="2:22" outlineLevel="1">
      <c r="B282" s="1278" t="s">
        <v>1681</v>
      </c>
      <c r="C282" s="1278" t="s">
        <v>901</v>
      </c>
      <c r="D282" s="1286" t="s">
        <v>902</v>
      </c>
      <c r="E282" s="1291" t="s">
        <v>910</v>
      </c>
      <c r="F282" s="1281">
        <v>4145.7</v>
      </c>
      <c r="G282" s="1338"/>
      <c r="H282" s="1282">
        <f t="shared" si="54"/>
        <v>0</v>
      </c>
      <c r="I282" s="1338"/>
      <c r="J282" s="1282">
        <f t="shared" si="55"/>
        <v>0</v>
      </c>
      <c r="K282" s="1338"/>
      <c r="L282" s="1282">
        <f t="shared" si="56"/>
        <v>0</v>
      </c>
      <c r="M282" s="1338"/>
      <c r="N282" s="1282">
        <f t="shared" si="57"/>
        <v>0</v>
      </c>
      <c r="O282" s="1338"/>
      <c r="P282" s="1282">
        <f t="shared" si="58"/>
        <v>0</v>
      </c>
      <c r="Q282" s="1338"/>
      <c r="R282" s="1282">
        <f t="shared" si="59"/>
        <v>0</v>
      </c>
      <c r="S282" s="1338"/>
      <c r="T282" s="1283">
        <f t="shared" si="60"/>
        <v>0</v>
      </c>
      <c r="U282" s="1284">
        <f t="shared" si="52"/>
        <v>0</v>
      </c>
      <c r="V282" s="1285">
        <f t="shared" si="53"/>
        <v>0</v>
      </c>
    </row>
    <row r="283" spans="2:22" outlineLevel="1">
      <c r="B283" s="1278" t="s">
        <v>1682</v>
      </c>
      <c r="C283" s="1278" t="s">
        <v>901</v>
      </c>
      <c r="D283" s="1286" t="s">
        <v>902</v>
      </c>
      <c r="E283" s="1291" t="s">
        <v>911</v>
      </c>
      <c r="F283" s="1281">
        <v>5740.2000000000007</v>
      </c>
      <c r="G283" s="1338"/>
      <c r="H283" s="1282">
        <f t="shared" si="54"/>
        <v>0</v>
      </c>
      <c r="I283" s="1338"/>
      <c r="J283" s="1282">
        <f t="shared" si="55"/>
        <v>0</v>
      </c>
      <c r="K283" s="1338"/>
      <c r="L283" s="1282">
        <f t="shared" si="56"/>
        <v>0</v>
      </c>
      <c r="M283" s="1338"/>
      <c r="N283" s="1282">
        <f t="shared" si="57"/>
        <v>0</v>
      </c>
      <c r="O283" s="1338"/>
      <c r="P283" s="1282">
        <f t="shared" si="58"/>
        <v>0</v>
      </c>
      <c r="Q283" s="1338"/>
      <c r="R283" s="1282">
        <f t="shared" si="59"/>
        <v>0</v>
      </c>
      <c r="S283" s="1338"/>
      <c r="T283" s="1283">
        <f t="shared" si="60"/>
        <v>0</v>
      </c>
      <c r="U283" s="1284">
        <f t="shared" si="52"/>
        <v>0</v>
      </c>
      <c r="V283" s="1285">
        <f t="shared" si="53"/>
        <v>0</v>
      </c>
    </row>
    <row r="284" spans="2:22" outlineLevel="1">
      <c r="B284" s="1278" t="s">
        <v>1683</v>
      </c>
      <c r="C284" s="1278" t="s">
        <v>901</v>
      </c>
      <c r="D284" s="1286" t="s">
        <v>902</v>
      </c>
      <c r="E284" s="1291" t="s">
        <v>912</v>
      </c>
      <c r="F284" s="1281">
        <v>7334.7000000000007</v>
      </c>
      <c r="G284" s="1338"/>
      <c r="H284" s="1282">
        <f t="shared" si="54"/>
        <v>0</v>
      </c>
      <c r="I284" s="1338"/>
      <c r="J284" s="1282">
        <f t="shared" si="55"/>
        <v>0</v>
      </c>
      <c r="K284" s="1338"/>
      <c r="L284" s="1282">
        <f t="shared" si="56"/>
        <v>0</v>
      </c>
      <c r="M284" s="1338"/>
      <c r="N284" s="1282">
        <f t="shared" si="57"/>
        <v>0</v>
      </c>
      <c r="O284" s="1338"/>
      <c r="P284" s="1282">
        <f t="shared" si="58"/>
        <v>0</v>
      </c>
      <c r="Q284" s="1338"/>
      <c r="R284" s="1282">
        <f t="shared" si="59"/>
        <v>0</v>
      </c>
      <c r="S284" s="1338"/>
      <c r="T284" s="1283">
        <f t="shared" si="60"/>
        <v>0</v>
      </c>
      <c r="U284" s="1284">
        <f t="shared" si="52"/>
        <v>0</v>
      </c>
      <c r="V284" s="1285">
        <f t="shared" si="53"/>
        <v>0</v>
      </c>
    </row>
    <row r="285" spans="2:22" outlineLevel="1">
      <c r="B285" s="1278" t="s">
        <v>1684</v>
      </c>
      <c r="C285" s="1278" t="s">
        <v>901</v>
      </c>
      <c r="D285" s="1286" t="s">
        <v>902</v>
      </c>
      <c r="E285" s="1291" t="s">
        <v>913</v>
      </c>
      <c r="F285" s="1281">
        <v>8929.2000000000007</v>
      </c>
      <c r="G285" s="1338"/>
      <c r="H285" s="1282">
        <f t="shared" si="54"/>
        <v>0</v>
      </c>
      <c r="I285" s="1338"/>
      <c r="J285" s="1282">
        <f t="shared" si="55"/>
        <v>0</v>
      </c>
      <c r="K285" s="1338"/>
      <c r="L285" s="1282">
        <f t="shared" si="56"/>
        <v>0</v>
      </c>
      <c r="M285" s="1338"/>
      <c r="N285" s="1282">
        <f t="shared" si="57"/>
        <v>0</v>
      </c>
      <c r="O285" s="1338"/>
      <c r="P285" s="1282">
        <f t="shared" si="58"/>
        <v>0</v>
      </c>
      <c r="Q285" s="1338"/>
      <c r="R285" s="1282">
        <f t="shared" si="59"/>
        <v>0</v>
      </c>
      <c r="S285" s="1338"/>
      <c r="T285" s="1283">
        <f t="shared" si="60"/>
        <v>0</v>
      </c>
      <c r="U285" s="1284">
        <f t="shared" si="52"/>
        <v>0</v>
      </c>
      <c r="V285" s="1285">
        <f t="shared" si="53"/>
        <v>0</v>
      </c>
    </row>
    <row r="286" spans="2:22" outlineLevel="1">
      <c r="B286" s="1278" t="s">
        <v>1685</v>
      </c>
      <c r="C286" s="1278" t="s">
        <v>901</v>
      </c>
      <c r="D286" s="1286" t="s">
        <v>902</v>
      </c>
      <c r="E286" s="1291" t="s">
        <v>914</v>
      </c>
      <c r="F286" s="1281">
        <v>10523.7</v>
      </c>
      <c r="G286" s="1338"/>
      <c r="H286" s="1282">
        <f t="shared" si="54"/>
        <v>0</v>
      </c>
      <c r="I286" s="1338"/>
      <c r="J286" s="1282">
        <f t="shared" si="55"/>
        <v>0</v>
      </c>
      <c r="K286" s="1338"/>
      <c r="L286" s="1282">
        <f t="shared" si="56"/>
        <v>0</v>
      </c>
      <c r="M286" s="1338"/>
      <c r="N286" s="1282">
        <f t="shared" si="57"/>
        <v>0</v>
      </c>
      <c r="O286" s="1338"/>
      <c r="P286" s="1282">
        <f t="shared" si="58"/>
        <v>0</v>
      </c>
      <c r="Q286" s="1338"/>
      <c r="R286" s="1282">
        <f t="shared" si="59"/>
        <v>0</v>
      </c>
      <c r="S286" s="1338"/>
      <c r="T286" s="1283">
        <f t="shared" si="60"/>
        <v>0</v>
      </c>
      <c r="U286" s="1284">
        <f t="shared" si="52"/>
        <v>0</v>
      </c>
      <c r="V286" s="1285">
        <f t="shared" si="53"/>
        <v>0</v>
      </c>
    </row>
    <row r="287" spans="2:22" outlineLevel="1">
      <c r="B287" s="1278" t="s">
        <v>1686</v>
      </c>
      <c r="C287" s="1278" t="s">
        <v>901</v>
      </c>
      <c r="D287" s="1286" t="s">
        <v>902</v>
      </c>
      <c r="E287" s="1291" t="s">
        <v>915</v>
      </c>
      <c r="F287" s="1281">
        <v>12118.2</v>
      </c>
      <c r="G287" s="1338"/>
      <c r="H287" s="1282">
        <f t="shared" si="54"/>
        <v>0</v>
      </c>
      <c r="I287" s="1338"/>
      <c r="J287" s="1282">
        <f t="shared" si="55"/>
        <v>0</v>
      </c>
      <c r="K287" s="1338"/>
      <c r="L287" s="1282">
        <f t="shared" si="56"/>
        <v>0</v>
      </c>
      <c r="M287" s="1338"/>
      <c r="N287" s="1282">
        <f t="shared" si="57"/>
        <v>0</v>
      </c>
      <c r="O287" s="1338"/>
      <c r="P287" s="1282">
        <f t="shared" si="58"/>
        <v>0</v>
      </c>
      <c r="Q287" s="1338"/>
      <c r="R287" s="1282">
        <f t="shared" si="59"/>
        <v>0</v>
      </c>
      <c r="S287" s="1338"/>
      <c r="T287" s="1283">
        <f t="shared" si="60"/>
        <v>0</v>
      </c>
      <c r="U287" s="1284">
        <f t="shared" si="52"/>
        <v>0</v>
      </c>
      <c r="V287" s="1285">
        <f t="shared" si="53"/>
        <v>0</v>
      </c>
    </row>
    <row r="288" spans="2:22" outlineLevel="1">
      <c r="B288" s="1278" t="s">
        <v>1687</v>
      </c>
      <c r="C288" s="1278" t="s">
        <v>901</v>
      </c>
      <c r="D288" s="1286" t="s">
        <v>902</v>
      </c>
      <c r="E288" s="1291" t="s">
        <v>916</v>
      </c>
      <c r="F288" s="1281">
        <v>13712.7</v>
      </c>
      <c r="G288" s="1338"/>
      <c r="H288" s="1282">
        <f t="shared" si="54"/>
        <v>0</v>
      </c>
      <c r="I288" s="1338"/>
      <c r="J288" s="1282">
        <f t="shared" si="55"/>
        <v>0</v>
      </c>
      <c r="K288" s="1338"/>
      <c r="L288" s="1282">
        <f t="shared" si="56"/>
        <v>0</v>
      </c>
      <c r="M288" s="1338"/>
      <c r="N288" s="1282">
        <f t="shared" si="57"/>
        <v>0</v>
      </c>
      <c r="O288" s="1338"/>
      <c r="P288" s="1282">
        <f t="shared" si="58"/>
        <v>0</v>
      </c>
      <c r="Q288" s="1338"/>
      <c r="R288" s="1282">
        <f t="shared" si="59"/>
        <v>0</v>
      </c>
      <c r="S288" s="1338"/>
      <c r="T288" s="1283">
        <f t="shared" si="60"/>
        <v>0</v>
      </c>
      <c r="U288" s="1284">
        <f t="shared" si="52"/>
        <v>0</v>
      </c>
      <c r="V288" s="1285">
        <f t="shared" si="53"/>
        <v>0</v>
      </c>
    </row>
    <row r="289" spans="2:22" outlineLevel="1">
      <c r="B289" s="1278" t="s">
        <v>1688</v>
      </c>
      <c r="C289" s="1278" t="s">
        <v>901</v>
      </c>
      <c r="D289" s="1286" t="s">
        <v>902</v>
      </c>
      <c r="E289" s="1311" t="s">
        <v>917</v>
      </c>
      <c r="F289" s="1281">
        <v>15307.2</v>
      </c>
      <c r="G289" s="1338"/>
      <c r="H289" s="1282">
        <f t="shared" si="54"/>
        <v>0</v>
      </c>
      <c r="I289" s="1338"/>
      <c r="J289" s="1282">
        <f t="shared" si="55"/>
        <v>0</v>
      </c>
      <c r="K289" s="1338"/>
      <c r="L289" s="1282">
        <f t="shared" si="56"/>
        <v>0</v>
      </c>
      <c r="M289" s="1338"/>
      <c r="N289" s="1282">
        <f t="shared" si="57"/>
        <v>0</v>
      </c>
      <c r="O289" s="1338"/>
      <c r="P289" s="1282">
        <f t="shared" si="58"/>
        <v>0</v>
      </c>
      <c r="Q289" s="1338"/>
      <c r="R289" s="1282">
        <f t="shared" si="59"/>
        <v>0</v>
      </c>
      <c r="S289" s="1338"/>
      <c r="T289" s="1283">
        <f t="shared" si="60"/>
        <v>0</v>
      </c>
      <c r="U289" s="1284">
        <f t="shared" si="52"/>
        <v>0</v>
      </c>
      <c r="V289" s="1285">
        <f t="shared" si="53"/>
        <v>0</v>
      </c>
    </row>
    <row r="290" spans="2:22" ht="13.5">
      <c r="B290" s="1312" t="s">
        <v>2013</v>
      </c>
      <c r="C290" s="1312" t="s">
        <v>918</v>
      </c>
      <c r="D290" s="1312"/>
      <c r="E290" s="1313"/>
      <c r="F290" s="1295"/>
      <c r="G290" s="1339"/>
      <c r="H290" s="1296"/>
      <c r="I290" s="1339"/>
      <c r="J290" s="1296"/>
      <c r="K290" s="1339"/>
      <c r="L290" s="1296"/>
      <c r="M290" s="1339"/>
      <c r="N290" s="1296"/>
      <c r="O290" s="1339"/>
      <c r="P290" s="1296"/>
      <c r="Q290" s="1339"/>
      <c r="R290" s="1296"/>
      <c r="S290" s="1339"/>
      <c r="T290" s="1296"/>
      <c r="U290" s="1297"/>
      <c r="V290" s="1298"/>
    </row>
    <row r="291" spans="2:22" outlineLevel="1">
      <c r="B291" s="1278" t="s">
        <v>1689</v>
      </c>
      <c r="C291" s="1306" t="s">
        <v>918</v>
      </c>
      <c r="D291" s="1286" t="s">
        <v>902</v>
      </c>
      <c r="E291" s="1290" t="s">
        <v>919</v>
      </c>
      <c r="F291" s="1281">
        <v>796.95</v>
      </c>
      <c r="G291" s="1338"/>
      <c r="H291" s="1282">
        <f t="shared" si="54"/>
        <v>0</v>
      </c>
      <c r="I291" s="1338"/>
      <c r="J291" s="1282">
        <f t="shared" si="55"/>
        <v>0</v>
      </c>
      <c r="K291" s="1338"/>
      <c r="L291" s="1282">
        <f t="shared" si="56"/>
        <v>0</v>
      </c>
      <c r="M291" s="1338"/>
      <c r="N291" s="1282">
        <f t="shared" si="57"/>
        <v>0</v>
      </c>
      <c r="O291" s="1338"/>
      <c r="P291" s="1282">
        <f t="shared" si="58"/>
        <v>0</v>
      </c>
      <c r="Q291" s="1338"/>
      <c r="R291" s="1282">
        <f t="shared" si="59"/>
        <v>0</v>
      </c>
      <c r="S291" s="1338"/>
      <c r="T291" s="1283">
        <f t="shared" si="60"/>
        <v>0</v>
      </c>
      <c r="U291" s="1284">
        <f t="shared" si="52"/>
        <v>0</v>
      </c>
      <c r="V291" s="1285">
        <f t="shared" si="53"/>
        <v>0</v>
      </c>
    </row>
    <row r="292" spans="2:22" outlineLevel="1">
      <c r="B292" s="1278" t="s">
        <v>1690</v>
      </c>
      <c r="C292" s="1306" t="s">
        <v>918</v>
      </c>
      <c r="D292" s="1286" t="s">
        <v>902</v>
      </c>
      <c r="E292" s="1291" t="s">
        <v>920</v>
      </c>
      <c r="F292" s="1281">
        <v>1138.5</v>
      </c>
      <c r="G292" s="1338"/>
      <c r="H292" s="1282">
        <f t="shared" si="54"/>
        <v>0</v>
      </c>
      <c r="I292" s="1338"/>
      <c r="J292" s="1282">
        <f t="shared" si="55"/>
        <v>0</v>
      </c>
      <c r="K292" s="1338"/>
      <c r="L292" s="1282">
        <f t="shared" si="56"/>
        <v>0</v>
      </c>
      <c r="M292" s="1338"/>
      <c r="N292" s="1282">
        <f t="shared" si="57"/>
        <v>0</v>
      </c>
      <c r="O292" s="1338"/>
      <c r="P292" s="1282">
        <f t="shared" si="58"/>
        <v>0</v>
      </c>
      <c r="Q292" s="1338"/>
      <c r="R292" s="1282">
        <f t="shared" si="59"/>
        <v>0</v>
      </c>
      <c r="S292" s="1338"/>
      <c r="T292" s="1283">
        <f t="shared" si="60"/>
        <v>0</v>
      </c>
      <c r="U292" s="1284">
        <f t="shared" si="52"/>
        <v>0</v>
      </c>
      <c r="V292" s="1285">
        <f t="shared" si="53"/>
        <v>0</v>
      </c>
    </row>
    <row r="293" spans="2:22" outlineLevel="1">
      <c r="B293" s="1278" t="s">
        <v>1691</v>
      </c>
      <c r="C293" s="1306" t="s">
        <v>918</v>
      </c>
      <c r="D293" s="1286" t="s">
        <v>902</v>
      </c>
      <c r="E293" s="1291" t="s">
        <v>921</v>
      </c>
      <c r="F293" s="1281">
        <v>1593.9</v>
      </c>
      <c r="G293" s="1338"/>
      <c r="H293" s="1282">
        <f t="shared" si="54"/>
        <v>0</v>
      </c>
      <c r="I293" s="1338"/>
      <c r="J293" s="1282">
        <f t="shared" si="55"/>
        <v>0</v>
      </c>
      <c r="K293" s="1338"/>
      <c r="L293" s="1282">
        <f t="shared" si="56"/>
        <v>0</v>
      </c>
      <c r="M293" s="1338"/>
      <c r="N293" s="1282">
        <f t="shared" si="57"/>
        <v>0</v>
      </c>
      <c r="O293" s="1338"/>
      <c r="P293" s="1282">
        <f t="shared" si="58"/>
        <v>0</v>
      </c>
      <c r="Q293" s="1338"/>
      <c r="R293" s="1282">
        <f t="shared" si="59"/>
        <v>0</v>
      </c>
      <c r="S293" s="1338"/>
      <c r="T293" s="1283">
        <f t="shared" si="60"/>
        <v>0</v>
      </c>
      <c r="U293" s="1284">
        <f t="shared" ref="U293:U356" si="61">G293+I293+K293+M293+O293+Q293+S293</f>
        <v>0</v>
      </c>
      <c r="V293" s="1285">
        <f t="shared" ref="V293:V356" si="62">U293*F293</f>
        <v>0</v>
      </c>
    </row>
    <row r="294" spans="2:22" outlineLevel="1">
      <c r="B294" s="1278" t="s">
        <v>1692</v>
      </c>
      <c r="C294" s="1306" t="s">
        <v>918</v>
      </c>
      <c r="D294" s="1286" t="s">
        <v>902</v>
      </c>
      <c r="E294" s="1291" t="s">
        <v>871</v>
      </c>
      <c r="F294" s="1281">
        <v>2049.3000000000002</v>
      </c>
      <c r="G294" s="1338"/>
      <c r="H294" s="1282">
        <f t="shared" si="54"/>
        <v>0</v>
      </c>
      <c r="I294" s="1338"/>
      <c r="J294" s="1282">
        <f t="shared" si="55"/>
        <v>0</v>
      </c>
      <c r="K294" s="1338"/>
      <c r="L294" s="1282">
        <f t="shared" si="56"/>
        <v>0</v>
      </c>
      <c r="M294" s="1338"/>
      <c r="N294" s="1282">
        <f t="shared" si="57"/>
        <v>0</v>
      </c>
      <c r="O294" s="1338"/>
      <c r="P294" s="1282">
        <f t="shared" si="58"/>
        <v>0</v>
      </c>
      <c r="Q294" s="1338"/>
      <c r="R294" s="1282">
        <f t="shared" si="59"/>
        <v>0</v>
      </c>
      <c r="S294" s="1338"/>
      <c r="T294" s="1283">
        <f t="shared" si="60"/>
        <v>0</v>
      </c>
      <c r="U294" s="1284">
        <f t="shared" si="61"/>
        <v>0</v>
      </c>
      <c r="V294" s="1285">
        <f t="shared" si="62"/>
        <v>0</v>
      </c>
    </row>
    <row r="295" spans="2:22" outlineLevel="1">
      <c r="B295" s="1278" t="s">
        <v>1693</v>
      </c>
      <c r="C295" s="1306" t="s">
        <v>918</v>
      </c>
      <c r="D295" s="1286" t="s">
        <v>902</v>
      </c>
      <c r="E295" s="1291" t="s">
        <v>872</v>
      </c>
      <c r="F295" s="1281">
        <v>2504.7000000000003</v>
      </c>
      <c r="G295" s="1338"/>
      <c r="H295" s="1282">
        <f t="shared" si="54"/>
        <v>0</v>
      </c>
      <c r="I295" s="1338"/>
      <c r="J295" s="1282">
        <f t="shared" si="55"/>
        <v>0</v>
      </c>
      <c r="K295" s="1338"/>
      <c r="L295" s="1282">
        <f t="shared" si="56"/>
        <v>0</v>
      </c>
      <c r="M295" s="1338"/>
      <c r="N295" s="1282">
        <f t="shared" si="57"/>
        <v>0</v>
      </c>
      <c r="O295" s="1338"/>
      <c r="P295" s="1282">
        <f t="shared" si="58"/>
        <v>0</v>
      </c>
      <c r="Q295" s="1338"/>
      <c r="R295" s="1282">
        <f t="shared" si="59"/>
        <v>0</v>
      </c>
      <c r="S295" s="1338"/>
      <c r="T295" s="1283">
        <f t="shared" si="60"/>
        <v>0</v>
      </c>
      <c r="U295" s="1284">
        <f t="shared" si="61"/>
        <v>0</v>
      </c>
      <c r="V295" s="1285">
        <f t="shared" si="62"/>
        <v>0</v>
      </c>
    </row>
    <row r="296" spans="2:22" outlineLevel="1">
      <c r="B296" s="1278" t="s">
        <v>1694</v>
      </c>
      <c r="C296" s="1306" t="s">
        <v>918</v>
      </c>
      <c r="D296" s="1286" t="s">
        <v>902</v>
      </c>
      <c r="E296" s="1291" t="s">
        <v>922</v>
      </c>
      <c r="F296" s="1281">
        <v>3187.8</v>
      </c>
      <c r="G296" s="1338"/>
      <c r="H296" s="1282">
        <f t="shared" si="54"/>
        <v>0</v>
      </c>
      <c r="I296" s="1338"/>
      <c r="J296" s="1282">
        <f t="shared" si="55"/>
        <v>0</v>
      </c>
      <c r="K296" s="1338"/>
      <c r="L296" s="1282">
        <f t="shared" si="56"/>
        <v>0</v>
      </c>
      <c r="M296" s="1338"/>
      <c r="N296" s="1282">
        <f t="shared" si="57"/>
        <v>0</v>
      </c>
      <c r="O296" s="1338"/>
      <c r="P296" s="1282">
        <f t="shared" si="58"/>
        <v>0</v>
      </c>
      <c r="Q296" s="1338"/>
      <c r="R296" s="1282">
        <f t="shared" si="59"/>
        <v>0</v>
      </c>
      <c r="S296" s="1338"/>
      <c r="T296" s="1283">
        <f t="shared" si="60"/>
        <v>0</v>
      </c>
      <c r="U296" s="1284">
        <f t="shared" si="61"/>
        <v>0</v>
      </c>
      <c r="V296" s="1285">
        <f t="shared" si="62"/>
        <v>0</v>
      </c>
    </row>
    <row r="297" spans="2:22" outlineLevel="1">
      <c r="B297" s="1278" t="s">
        <v>1695</v>
      </c>
      <c r="C297" s="1306" t="s">
        <v>918</v>
      </c>
      <c r="D297" s="1286" t="s">
        <v>902</v>
      </c>
      <c r="E297" s="1291" t="s">
        <v>923</v>
      </c>
      <c r="F297" s="1281">
        <v>4098.6000000000004</v>
      </c>
      <c r="G297" s="1338"/>
      <c r="H297" s="1282">
        <f t="shared" si="54"/>
        <v>0</v>
      </c>
      <c r="I297" s="1338"/>
      <c r="J297" s="1282">
        <f t="shared" si="55"/>
        <v>0</v>
      </c>
      <c r="K297" s="1338"/>
      <c r="L297" s="1282">
        <f t="shared" si="56"/>
        <v>0</v>
      </c>
      <c r="M297" s="1338"/>
      <c r="N297" s="1282">
        <f t="shared" si="57"/>
        <v>0</v>
      </c>
      <c r="O297" s="1338"/>
      <c r="P297" s="1282">
        <f t="shared" si="58"/>
        <v>0</v>
      </c>
      <c r="Q297" s="1338"/>
      <c r="R297" s="1282">
        <f t="shared" si="59"/>
        <v>0</v>
      </c>
      <c r="S297" s="1338"/>
      <c r="T297" s="1283">
        <f t="shared" si="60"/>
        <v>0</v>
      </c>
      <c r="U297" s="1284">
        <f t="shared" si="61"/>
        <v>0</v>
      </c>
      <c r="V297" s="1285">
        <f t="shared" si="62"/>
        <v>0</v>
      </c>
    </row>
    <row r="298" spans="2:22" outlineLevel="1">
      <c r="B298" s="1278" t="s">
        <v>1696</v>
      </c>
      <c r="C298" s="1306" t="s">
        <v>918</v>
      </c>
      <c r="D298" s="1286" t="s">
        <v>902</v>
      </c>
      <c r="E298" s="1291" t="s">
        <v>924</v>
      </c>
      <c r="F298" s="1281">
        <v>5009.4000000000005</v>
      </c>
      <c r="G298" s="1338"/>
      <c r="H298" s="1282">
        <f t="shared" si="54"/>
        <v>0</v>
      </c>
      <c r="I298" s="1338"/>
      <c r="J298" s="1282">
        <f t="shared" si="55"/>
        <v>0</v>
      </c>
      <c r="K298" s="1338"/>
      <c r="L298" s="1282">
        <f t="shared" si="56"/>
        <v>0</v>
      </c>
      <c r="M298" s="1338"/>
      <c r="N298" s="1282">
        <f t="shared" si="57"/>
        <v>0</v>
      </c>
      <c r="O298" s="1338"/>
      <c r="P298" s="1282">
        <f t="shared" si="58"/>
        <v>0</v>
      </c>
      <c r="Q298" s="1338"/>
      <c r="R298" s="1282">
        <f t="shared" si="59"/>
        <v>0</v>
      </c>
      <c r="S298" s="1338"/>
      <c r="T298" s="1283">
        <f t="shared" si="60"/>
        <v>0</v>
      </c>
      <c r="U298" s="1284">
        <f t="shared" si="61"/>
        <v>0</v>
      </c>
      <c r="V298" s="1285">
        <f t="shared" si="62"/>
        <v>0</v>
      </c>
    </row>
    <row r="299" spans="2:22" outlineLevel="1">
      <c r="B299" s="1278" t="s">
        <v>1697</v>
      </c>
      <c r="C299" s="1306" t="s">
        <v>918</v>
      </c>
      <c r="D299" s="1286" t="s">
        <v>902</v>
      </c>
      <c r="E299" s="1291" t="s">
        <v>925</v>
      </c>
      <c r="F299" s="1281">
        <v>5920.1999999999989</v>
      </c>
      <c r="G299" s="1338"/>
      <c r="H299" s="1282">
        <f t="shared" si="54"/>
        <v>0</v>
      </c>
      <c r="I299" s="1338"/>
      <c r="J299" s="1282">
        <f t="shared" si="55"/>
        <v>0</v>
      </c>
      <c r="K299" s="1338"/>
      <c r="L299" s="1282">
        <f t="shared" si="56"/>
        <v>0</v>
      </c>
      <c r="M299" s="1338"/>
      <c r="N299" s="1282">
        <f t="shared" si="57"/>
        <v>0</v>
      </c>
      <c r="O299" s="1338"/>
      <c r="P299" s="1282">
        <f t="shared" si="58"/>
        <v>0</v>
      </c>
      <c r="Q299" s="1338"/>
      <c r="R299" s="1282">
        <f t="shared" si="59"/>
        <v>0</v>
      </c>
      <c r="S299" s="1338"/>
      <c r="T299" s="1283">
        <f t="shared" si="60"/>
        <v>0</v>
      </c>
      <c r="U299" s="1284">
        <f t="shared" si="61"/>
        <v>0</v>
      </c>
      <c r="V299" s="1285">
        <f t="shared" si="62"/>
        <v>0</v>
      </c>
    </row>
    <row r="300" spans="2:22" outlineLevel="1">
      <c r="B300" s="1278" t="s">
        <v>1698</v>
      </c>
      <c r="C300" s="1306" t="s">
        <v>918</v>
      </c>
      <c r="D300" s="1286" t="s">
        <v>902</v>
      </c>
      <c r="E300" s="1291" t="s">
        <v>926</v>
      </c>
      <c r="F300" s="1281">
        <v>6831</v>
      </c>
      <c r="G300" s="1338"/>
      <c r="H300" s="1282">
        <f t="shared" si="54"/>
        <v>0</v>
      </c>
      <c r="I300" s="1338"/>
      <c r="J300" s="1282">
        <f t="shared" si="55"/>
        <v>0</v>
      </c>
      <c r="K300" s="1338"/>
      <c r="L300" s="1282">
        <f t="shared" si="56"/>
        <v>0</v>
      </c>
      <c r="M300" s="1338"/>
      <c r="N300" s="1282">
        <f t="shared" si="57"/>
        <v>0</v>
      </c>
      <c r="O300" s="1338"/>
      <c r="P300" s="1282">
        <f t="shared" si="58"/>
        <v>0</v>
      </c>
      <c r="Q300" s="1338"/>
      <c r="R300" s="1282">
        <f t="shared" si="59"/>
        <v>0</v>
      </c>
      <c r="S300" s="1338"/>
      <c r="T300" s="1283">
        <f t="shared" si="60"/>
        <v>0</v>
      </c>
      <c r="U300" s="1284">
        <f t="shared" si="61"/>
        <v>0</v>
      </c>
      <c r="V300" s="1285">
        <f t="shared" si="62"/>
        <v>0</v>
      </c>
    </row>
    <row r="301" spans="2:22" outlineLevel="1">
      <c r="B301" s="1278" t="s">
        <v>1699</v>
      </c>
      <c r="C301" s="1306" t="s">
        <v>918</v>
      </c>
      <c r="D301" s="1286" t="s">
        <v>902</v>
      </c>
      <c r="E301" s="1291" t="s">
        <v>927</v>
      </c>
      <c r="F301" s="1281">
        <v>7741.8000000000011</v>
      </c>
      <c r="G301" s="1338"/>
      <c r="H301" s="1282">
        <f t="shared" si="54"/>
        <v>0</v>
      </c>
      <c r="I301" s="1338"/>
      <c r="J301" s="1282">
        <f t="shared" si="55"/>
        <v>0</v>
      </c>
      <c r="K301" s="1338"/>
      <c r="L301" s="1282">
        <f t="shared" si="56"/>
        <v>0</v>
      </c>
      <c r="M301" s="1338"/>
      <c r="N301" s="1282">
        <f t="shared" si="57"/>
        <v>0</v>
      </c>
      <c r="O301" s="1338"/>
      <c r="P301" s="1282">
        <f t="shared" si="58"/>
        <v>0</v>
      </c>
      <c r="Q301" s="1338"/>
      <c r="R301" s="1282">
        <f t="shared" si="59"/>
        <v>0</v>
      </c>
      <c r="S301" s="1338"/>
      <c r="T301" s="1283">
        <f t="shared" si="60"/>
        <v>0</v>
      </c>
      <c r="U301" s="1284">
        <f t="shared" si="61"/>
        <v>0</v>
      </c>
      <c r="V301" s="1285">
        <f t="shared" si="62"/>
        <v>0</v>
      </c>
    </row>
    <row r="302" spans="2:22" outlineLevel="1">
      <c r="B302" s="1278" t="s">
        <v>1700</v>
      </c>
      <c r="C302" s="1306" t="s">
        <v>918</v>
      </c>
      <c r="D302" s="1286" t="s">
        <v>902</v>
      </c>
      <c r="E302" s="1291" t="s">
        <v>928</v>
      </c>
      <c r="F302" s="1281">
        <v>9108</v>
      </c>
      <c r="G302" s="1338"/>
      <c r="H302" s="1282">
        <f t="shared" si="54"/>
        <v>0</v>
      </c>
      <c r="I302" s="1338"/>
      <c r="J302" s="1282">
        <f t="shared" si="55"/>
        <v>0</v>
      </c>
      <c r="K302" s="1338"/>
      <c r="L302" s="1282">
        <f t="shared" si="56"/>
        <v>0</v>
      </c>
      <c r="M302" s="1338"/>
      <c r="N302" s="1282">
        <f t="shared" si="57"/>
        <v>0</v>
      </c>
      <c r="O302" s="1338"/>
      <c r="P302" s="1282">
        <f t="shared" si="58"/>
        <v>0</v>
      </c>
      <c r="Q302" s="1338"/>
      <c r="R302" s="1282">
        <f t="shared" si="59"/>
        <v>0</v>
      </c>
      <c r="S302" s="1338"/>
      <c r="T302" s="1283">
        <f t="shared" si="60"/>
        <v>0</v>
      </c>
      <c r="U302" s="1284">
        <f t="shared" si="61"/>
        <v>0</v>
      </c>
      <c r="V302" s="1285">
        <f t="shared" si="62"/>
        <v>0</v>
      </c>
    </row>
    <row r="303" spans="2:22" outlineLevel="1">
      <c r="B303" s="1278" t="s">
        <v>1701</v>
      </c>
      <c r="C303" s="1306" t="s">
        <v>918</v>
      </c>
      <c r="D303" s="1286" t="s">
        <v>902</v>
      </c>
      <c r="E303" s="1291" t="s">
        <v>929</v>
      </c>
      <c r="F303" s="1281">
        <v>10929.600000000002</v>
      </c>
      <c r="G303" s="1338"/>
      <c r="H303" s="1282">
        <f t="shared" si="54"/>
        <v>0</v>
      </c>
      <c r="I303" s="1338"/>
      <c r="J303" s="1282">
        <f t="shared" si="55"/>
        <v>0</v>
      </c>
      <c r="K303" s="1338"/>
      <c r="L303" s="1282">
        <f t="shared" si="56"/>
        <v>0</v>
      </c>
      <c r="M303" s="1338"/>
      <c r="N303" s="1282">
        <f t="shared" si="57"/>
        <v>0</v>
      </c>
      <c r="O303" s="1338"/>
      <c r="P303" s="1282">
        <f t="shared" si="58"/>
        <v>0</v>
      </c>
      <c r="Q303" s="1338"/>
      <c r="R303" s="1282">
        <f t="shared" si="59"/>
        <v>0</v>
      </c>
      <c r="S303" s="1338"/>
      <c r="T303" s="1283">
        <f t="shared" si="60"/>
        <v>0</v>
      </c>
      <c r="U303" s="1284">
        <f t="shared" si="61"/>
        <v>0</v>
      </c>
      <c r="V303" s="1285">
        <f t="shared" si="62"/>
        <v>0</v>
      </c>
    </row>
    <row r="304" spans="2:22" outlineLevel="1">
      <c r="B304" s="1278" t="s">
        <v>1702</v>
      </c>
      <c r="C304" s="1306" t="s">
        <v>918</v>
      </c>
      <c r="D304" s="1286" t="s">
        <v>902</v>
      </c>
      <c r="E304" s="1291" t="s">
        <v>930</v>
      </c>
      <c r="F304" s="1281">
        <v>12751.2</v>
      </c>
      <c r="G304" s="1338"/>
      <c r="H304" s="1282">
        <f t="shared" si="54"/>
        <v>0</v>
      </c>
      <c r="I304" s="1338"/>
      <c r="J304" s="1282">
        <f t="shared" si="55"/>
        <v>0</v>
      </c>
      <c r="K304" s="1338"/>
      <c r="L304" s="1282">
        <f t="shared" si="56"/>
        <v>0</v>
      </c>
      <c r="M304" s="1338"/>
      <c r="N304" s="1282">
        <f t="shared" si="57"/>
        <v>0</v>
      </c>
      <c r="O304" s="1338"/>
      <c r="P304" s="1282">
        <f t="shared" si="58"/>
        <v>0</v>
      </c>
      <c r="Q304" s="1338"/>
      <c r="R304" s="1282">
        <f t="shared" si="59"/>
        <v>0</v>
      </c>
      <c r="S304" s="1338"/>
      <c r="T304" s="1283">
        <f t="shared" si="60"/>
        <v>0</v>
      </c>
      <c r="U304" s="1284">
        <f t="shared" si="61"/>
        <v>0</v>
      </c>
      <c r="V304" s="1285">
        <f t="shared" si="62"/>
        <v>0</v>
      </c>
    </row>
    <row r="305" spans="2:22" outlineLevel="1">
      <c r="B305" s="1278" t="s">
        <v>1703</v>
      </c>
      <c r="C305" s="1306" t="s">
        <v>918</v>
      </c>
      <c r="D305" s="1286" t="s">
        <v>902</v>
      </c>
      <c r="E305" s="1291" t="s">
        <v>931</v>
      </c>
      <c r="F305" s="1281">
        <v>14572.800000000001</v>
      </c>
      <c r="G305" s="1338"/>
      <c r="H305" s="1282">
        <f t="shared" si="54"/>
        <v>0</v>
      </c>
      <c r="I305" s="1338"/>
      <c r="J305" s="1282">
        <f t="shared" si="55"/>
        <v>0</v>
      </c>
      <c r="K305" s="1338"/>
      <c r="L305" s="1282">
        <f t="shared" si="56"/>
        <v>0</v>
      </c>
      <c r="M305" s="1338"/>
      <c r="N305" s="1282">
        <f t="shared" si="57"/>
        <v>0</v>
      </c>
      <c r="O305" s="1338"/>
      <c r="P305" s="1282">
        <f t="shared" si="58"/>
        <v>0</v>
      </c>
      <c r="Q305" s="1338"/>
      <c r="R305" s="1282">
        <f t="shared" si="59"/>
        <v>0</v>
      </c>
      <c r="S305" s="1338"/>
      <c r="T305" s="1283">
        <f t="shared" si="60"/>
        <v>0</v>
      </c>
      <c r="U305" s="1284">
        <f t="shared" si="61"/>
        <v>0</v>
      </c>
      <c r="V305" s="1285">
        <f t="shared" si="62"/>
        <v>0</v>
      </c>
    </row>
    <row r="306" spans="2:22" outlineLevel="1">
      <c r="B306" s="1278" t="s">
        <v>1704</v>
      </c>
      <c r="C306" s="1306" t="s">
        <v>918</v>
      </c>
      <c r="D306" s="1286" t="s">
        <v>902</v>
      </c>
      <c r="E306" s="1291" t="s">
        <v>932</v>
      </c>
      <c r="F306" s="1281">
        <v>17305.2</v>
      </c>
      <c r="G306" s="1338"/>
      <c r="H306" s="1282">
        <f t="shared" si="54"/>
        <v>0</v>
      </c>
      <c r="I306" s="1338"/>
      <c r="J306" s="1282">
        <f t="shared" si="55"/>
        <v>0</v>
      </c>
      <c r="K306" s="1338"/>
      <c r="L306" s="1282">
        <f t="shared" si="56"/>
        <v>0</v>
      </c>
      <c r="M306" s="1338"/>
      <c r="N306" s="1282">
        <f t="shared" si="57"/>
        <v>0</v>
      </c>
      <c r="O306" s="1338"/>
      <c r="P306" s="1282">
        <f t="shared" si="58"/>
        <v>0</v>
      </c>
      <c r="Q306" s="1338"/>
      <c r="R306" s="1282">
        <f t="shared" si="59"/>
        <v>0</v>
      </c>
      <c r="S306" s="1338"/>
      <c r="T306" s="1283">
        <f t="shared" si="60"/>
        <v>0</v>
      </c>
      <c r="U306" s="1284">
        <f t="shared" si="61"/>
        <v>0</v>
      </c>
      <c r="V306" s="1285">
        <f t="shared" si="62"/>
        <v>0</v>
      </c>
    </row>
    <row r="307" spans="2:22" outlineLevel="1">
      <c r="B307" s="1278" t="s">
        <v>1705</v>
      </c>
      <c r="C307" s="1306" t="s">
        <v>918</v>
      </c>
      <c r="D307" s="1286" t="s">
        <v>902</v>
      </c>
      <c r="E307" s="1291" t="s">
        <v>933</v>
      </c>
      <c r="F307" s="1281">
        <v>20948.400000000001</v>
      </c>
      <c r="G307" s="1338"/>
      <c r="H307" s="1282">
        <f t="shared" si="54"/>
        <v>0</v>
      </c>
      <c r="I307" s="1338"/>
      <c r="J307" s="1282">
        <f t="shared" si="55"/>
        <v>0</v>
      </c>
      <c r="K307" s="1338"/>
      <c r="L307" s="1282">
        <f t="shared" si="56"/>
        <v>0</v>
      </c>
      <c r="M307" s="1338"/>
      <c r="N307" s="1282">
        <f t="shared" si="57"/>
        <v>0</v>
      </c>
      <c r="O307" s="1338"/>
      <c r="P307" s="1282">
        <f t="shared" si="58"/>
        <v>0</v>
      </c>
      <c r="Q307" s="1338"/>
      <c r="R307" s="1282">
        <f t="shared" si="59"/>
        <v>0</v>
      </c>
      <c r="S307" s="1338"/>
      <c r="T307" s="1283">
        <f t="shared" si="60"/>
        <v>0</v>
      </c>
      <c r="U307" s="1284">
        <f t="shared" si="61"/>
        <v>0</v>
      </c>
      <c r="V307" s="1285">
        <f t="shared" si="62"/>
        <v>0</v>
      </c>
    </row>
    <row r="308" spans="2:22" outlineLevel="1">
      <c r="B308" s="1278" t="s">
        <v>1706</v>
      </c>
      <c r="C308" s="1306" t="s">
        <v>918</v>
      </c>
      <c r="D308" s="1286" t="s">
        <v>902</v>
      </c>
      <c r="E308" s="1291" t="s">
        <v>934</v>
      </c>
      <c r="F308" s="1281">
        <v>24591.600000000002</v>
      </c>
      <c r="G308" s="1338"/>
      <c r="H308" s="1282">
        <f t="shared" si="54"/>
        <v>0</v>
      </c>
      <c r="I308" s="1338"/>
      <c r="J308" s="1282">
        <f t="shared" si="55"/>
        <v>0</v>
      </c>
      <c r="K308" s="1338"/>
      <c r="L308" s="1282">
        <f t="shared" si="56"/>
        <v>0</v>
      </c>
      <c r="M308" s="1338"/>
      <c r="N308" s="1282">
        <f t="shared" si="57"/>
        <v>0</v>
      </c>
      <c r="O308" s="1338"/>
      <c r="P308" s="1282">
        <f t="shared" si="58"/>
        <v>0</v>
      </c>
      <c r="Q308" s="1338"/>
      <c r="R308" s="1282">
        <f t="shared" si="59"/>
        <v>0</v>
      </c>
      <c r="S308" s="1338"/>
      <c r="T308" s="1283">
        <f t="shared" si="60"/>
        <v>0</v>
      </c>
      <c r="U308" s="1284">
        <f t="shared" si="61"/>
        <v>0</v>
      </c>
      <c r="V308" s="1285">
        <f t="shared" si="62"/>
        <v>0</v>
      </c>
    </row>
    <row r="309" spans="2:22" outlineLevel="1">
      <c r="B309" s="1278" t="s">
        <v>1707</v>
      </c>
      <c r="C309" s="1306" t="s">
        <v>918</v>
      </c>
      <c r="D309" s="1286" t="s">
        <v>902</v>
      </c>
      <c r="E309" s="1291" t="s">
        <v>935</v>
      </c>
      <c r="F309" s="1281">
        <v>28234.799999999999</v>
      </c>
      <c r="G309" s="1338"/>
      <c r="H309" s="1282">
        <f t="shared" si="54"/>
        <v>0</v>
      </c>
      <c r="I309" s="1338"/>
      <c r="J309" s="1282">
        <f t="shared" si="55"/>
        <v>0</v>
      </c>
      <c r="K309" s="1338"/>
      <c r="L309" s="1282">
        <f t="shared" si="56"/>
        <v>0</v>
      </c>
      <c r="M309" s="1338"/>
      <c r="N309" s="1282">
        <f t="shared" si="57"/>
        <v>0</v>
      </c>
      <c r="O309" s="1338"/>
      <c r="P309" s="1282">
        <f t="shared" si="58"/>
        <v>0</v>
      </c>
      <c r="Q309" s="1338"/>
      <c r="R309" s="1282">
        <f t="shared" si="59"/>
        <v>0</v>
      </c>
      <c r="S309" s="1338"/>
      <c r="T309" s="1283">
        <f t="shared" si="60"/>
        <v>0</v>
      </c>
      <c r="U309" s="1284">
        <f t="shared" si="61"/>
        <v>0</v>
      </c>
      <c r="V309" s="1285">
        <f t="shared" si="62"/>
        <v>0</v>
      </c>
    </row>
    <row r="310" spans="2:22" outlineLevel="1">
      <c r="B310" s="1278" t="s">
        <v>1708</v>
      </c>
      <c r="C310" s="1306" t="s">
        <v>918</v>
      </c>
      <c r="D310" s="1286" t="s">
        <v>902</v>
      </c>
      <c r="E310" s="1291" t="s">
        <v>936</v>
      </c>
      <c r="F310" s="1281">
        <v>33699.599999999999</v>
      </c>
      <c r="G310" s="1338"/>
      <c r="H310" s="1282">
        <f t="shared" si="54"/>
        <v>0</v>
      </c>
      <c r="I310" s="1338"/>
      <c r="J310" s="1282">
        <f t="shared" si="55"/>
        <v>0</v>
      </c>
      <c r="K310" s="1338"/>
      <c r="L310" s="1282">
        <f t="shared" si="56"/>
        <v>0</v>
      </c>
      <c r="M310" s="1338"/>
      <c r="N310" s="1282">
        <f t="shared" si="57"/>
        <v>0</v>
      </c>
      <c r="O310" s="1338"/>
      <c r="P310" s="1282">
        <f t="shared" si="58"/>
        <v>0</v>
      </c>
      <c r="Q310" s="1338"/>
      <c r="R310" s="1282">
        <f t="shared" si="59"/>
        <v>0</v>
      </c>
      <c r="S310" s="1338"/>
      <c r="T310" s="1283">
        <f t="shared" si="60"/>
        <v>0</v>
      </c>
      <c r="U310" s="1284">
        <f t="shared" si="61"/>
        <v>0</v>
      </c>
      <c r="V310" s="1285">
        <f t="shared" si="62"/>
        <v>0</v>
      </c>
    </row>
    <row r="311" spans="2:22" outlineLevel="1">
      <c r="B311" s="1278" t="s">
        <v>1709</v>
      </c>
      <c r="C311" s="1306" t="s">
        <v>918</v>
      </c>
      <c r="D311" s="1286" t="s">
        <v>902</v>
      </c>
      <c r="E311" s="1291" t="s">
        <v>937</v>
      </c>
      <c r="F311" s="1281">
        <v>40986</v>
      </c>
      <c r="G311" s="1338"/>
      <c r="H311" s="1282">
        <f t="shared" si="54"/>
        <v>0</v>
      </c>
      <c r="I311" s="1338"/>
      <c r="J311" s="1282">
        <f t="shared" si="55"/>
        <v>0</v>
      </c>
      <c r="K311" s="1338"/>
      <c r="L311" s="1282">
        <f t="shared" si="56"/>
        <v>0</v>
      </c>
      <c r="M311" s="1338"/>
      <c r="N311" s="1282">
        <f t="shared" si="57"/>
        <v>0</v>
      </c>
      <c r="O311" s="1338"/>
      <c r="P311" s="1282">
        <f t="shared" si="58"/>
        <v>0</v>
      </c>
      <c r="Q311" s="1338"/>
      <c r="R311" s="1282">
        <f t="shared" si="59"/>
        <v>0</v>
      </c>
      <c r="S311" s="1338"/>
      <c r="T311" s="1283">
        <f t="shared" si="60"/>
        <v>0</v>
      </c>
      <c r="U311" s="1284">
        <f t="shared" si="61"/>
        <v>0</v>
      </c>
      <c r="V311" s="1285">
        <f t="shared" si="62"/>
        <v>0</v>
      </c>
    </row>
    <row r="312" spans="2:22" outlineLevel="1">
      <c r="B312" s="1278" t="s">
        <v>1710</v>
      </c>
      <c r="C312" s="1306" t="s">
        <v>918</v>
      </c>
      <c r="D312" s="1286" t="s">
        <v>902</v>
      </c>
      <c r="E312" s="1291" t="s">
        <v>938</v>
      </c>
      <c r="F312" s="1281">
        <v>48272.400000000009</v>
      </c>
      <c r="G312" s="1338"/>
      <c r="H312" s="1282">
        <f t="shared" si="54"/>
        <v>0</v>
      </c>
      <c r="I312" s="1338"/>
      <c r="J312" s="1282">
        <f t="shared" si="55"/>
        <v>0</v>
      </c>
      <c r="K312" s="1338"/>
      <c r="L312" s="1282">
        <f t="shared" si="56"/>
        <v>0</v>
      </c>
      <c r="M312" s="1338"/>
      <c r="N312" s="1282">
        <f t="shared" si="57"/>
        <v>0</v>
      </c>
      <c r="O312" s="1338"/>
      <c r="P312" s="1282">
        <f t="shared" si="58"/>
        <v>0</v>
      </c>
      <c r="Q312" s="1338"/>
      <c r="R312" s="1282">
        <f t="shared" si="59"/>
        <v>0</v>
      </c>
      <c r="S312" s="1338"/>
      <c r="T312" s="1283">
        <f t="shared" si="60"/>
        <v>0</v>
      </c>
      <c r="U312" s="1284">
        <f t="shared" si="61"/>
        <v>0</v>
      </c>
      <c r="V312" s="1285">
        <f t="shared" si="62"/>
        <v>0</v>
      </c>
    </row>
    <row r="313" spans="2:22" outlineLevel="1">
      <c r="B313" s="1278" t="s">
        <v>1711</v>
      </c>
      <c r="C313" s="1306" t="s">
        <v>918</v>
      </c>
      <c r="D313" s="1286" t="s">
        <v>902</v>
      </c>
      <c r="E313" s="1291" t="s">
        <v>939</v>
      </c>
      <c r="F313" s="1281">
        <v>55558.8</v>
      </c>
      <c r="G313" s="1338"/>
      <c r="H313" s="1282">
        <f t="shared" si="54"/>
        <v>0</v>
      </c>
      <c r="I313" s="1338"/>
      <c r="J313" s="1282">
        <f t="shared" si="55"/>
        <v>0</v>
      </c>
      <c r="K313" s="1338"/>
      <c r="L313" s="1282">
        <f t="shared" si="56"/>
        <v>0</v>
      </c>
      <c r="M313" s="1338"/>
      <c r="N313" s="1282">
        <f t="shared" si="57"/>
        <v>0</v>
      </c>
      <c r="O313" s="1338"/>
      <c r="P313" s="1282">
        <f t="shared" si="58"/>
        <v>0</v>
      </c>
      <c r="Q313" s="1338"/>
      <c r="R313" s="1282">
        <f t="shared" si="59"/>
        <v>0</v>
      </c>
      <c r="S313" s="1338"/>
      <c r="T313" s="1283">
        <f t="shared" si="60"/>
        <v>0</v>
      </c>
      <c r="U313" s="1284">
        <f t="shared" si="61"/>
        <v>0</v>
      </c>
      <c r="V313" s="1285">
        <f t="shared" si="62"/>
        <v>0</v>
      </c>
    </row>
    <row r="314" spans="2:22" outlineLevel="1">
      <c r="B314" s="1278" t="s">
        <v>1712</v>
      </c>
      <c r="C314" s="1306" t="s">
        <v>918</v>
      </c>
      <c r="D314" s="1286" t="s">
        <v>902</v>
      </c>
      <c r="E314" s="1291" t="s">
        <v>940</v>
      </c>
      <c r="F314" s="1281">
        <v>66488.400000000009</v>
      </c>
      <c r="G314" s="1338"/>
      <c r="H314" s="1282">
        <f t="shared" si="54"/>
        <v>0</v>
      </c>
      <c r="I314" s="1338"/>
      <c r="J314" s="1282">
        <f t="shared" si="55"/>
        <v>0</v>
      </c>
      <c r="K314" s="1338"/>
      <c r="L314" s="1282">
        <f t="shared" si="56"/>
        <v>0</v>
      </c>
      <c r="M314" s="1338"/>
      <c r="N314" s="1282">
        <f t="shared" si="57"/>
        <v>0</v>
      </c>
      <c r="O314" s="1338"/>
      <c r="P314" s="1282">
        <f t="shared" si="58"/>
        <v>0</v>
      </c>
      <c r="Q314" s="1338"/>
      <c r="R314" s="1282">
        <f t="shared" si="59"/>
        <v>0</v>
      </c>
      <c r="S314" s="1338"/>
      <c r="T314" s="1283">
        <f t="shared" si="60"/>
        <v>0</v>
      </c>
      <c r="U314" s="1284">
        <f t="shared" si="61"/>
        <v>0</v>
      </c>
      <c r="V314" s="1285">
        <f t="shared" si="62"/>
        <v>0</v>
      </c>
    </row>
    <row r="315" spans="2:22" outlineLevel="1">
      <c r="B315" s="1278" t="s">
        <v>1713</v>
      </c>
      <c r="C315" s="1306" t="s">
        <v>918</v>
      </c>
      <c r="D315" s="1286" t="s">
        <v>902</v>
      </c>
      <c r="E315" s="1291" t="s">
        <v>941</v>
      </c>
      <c r="F315" s="1281">
        <v>81061.199999999983</v>
      </c>
      <c r="G315" s="1338"/>
      <c r="H315" s="1282">
        <f t="shared" si="54"/>
        <v>0</v>
      </c>
      <c r="I315" s="1338"/>
      <c r="J315" s="1282">
        <f t="shared" si="55"/>
        <v>0</v>
      </c>
      <c r="K315" s="1338"/>
      <c r="L315" s="1282">
        <f t="shared" si="56"/>
        <v>0</v>
      </c>
      <c r="M315" s="1338"/>
      <c r="N315" s="1282">
        <f t="shared" si="57"/>
        <v>0</v>
      </c>
      <c r="O315" s="1338"/>
      <c r="P315" s="1282">
        <f t="shared" si="58"/>
        <v>0</v>
      </c>
      <c r="Q315" s="1338"/>
      <c r="R315" s="1282">
        <f t="shared" si="59"/>
        <v>0</v>
      </c>
      <c r="S315" s="1338"/>
      <c r="T315" s="1283">
        <f t="shared" si="60"/>
        <v>0</v>
      </c>
      <c r="U315" s="1284">
        <f t="shared" si="61"/>
        <v>0</v>
      </c>
      <c r="V315" s="1285">
        <f t="shared" si="62"/>
        <v>0</v>
      </c>
    </row>
    <row r="316" spans="2:22" outlineLevel="1">
      <c r="B316" s="1278" t="s">
        <v>1714</v>
      </c>
      <c r="C316" s="1306" t="s">
        <v>918</v>
      </c>
      <c r="D316" s="1286" t="s">
        <v>902</v>
      </c>
      <c r="E316" s="1291" t="s">
        <v>942</v>
      </c>
      <c r="F316" s="1281">
        <v>95634</v>
      </c>
      <c r="G316" s="1338"/>
      <c r="H316" s="1282">
        <f t="shared" si="54"/>
        <v>0</v>
      </c>
      <c r="I316" s="1338"/>
      <c r="J316" s="1282">
        <f t="shared" si="55"/>
        <v>0</v>
      </c>
      <c r="K316" s="1338"/>
      <c r="L316" s="1282">
        <f t="shared" si="56"/>
        <v>0</v>
      </c>
      <c r="M316" s="1338"/>
      <c r="N316" s="1282">
        <f t="shared" si="57"/>
        <v>0</v>
      </c>
      <c r="O316" s="1338"/>
      <c r="P316" s="1282">
        <f t="shared" si="58"/>
        <v>0</v>
      </c>
      <c r="Q316" s="1338"/>
      <c r="R316" s="1282">
        <f t="shared" si="59"/>
        <v>0</v>
      </c>
      <c r="S316" s="1338"/>
      <c r="T316" s="1283">
        <f t="shared" si="60"/>
        <v>0</v>
      </c>
      <c r="U316" s="1284">
        <f t="shared" si="61"/>
        <v>0</v>
      </c>
      <c r="V316" s="1285">
        <f t="shared" si="62"/>
        <v>0</v>
      </c>
    </row>
    <row r="317" spans="2:22" outlineLevel="1">
      <c r="B317" s="1278" t="s">
        <v>1715</v>
      </c>
      <c r="C317" s="1314" t="s">
        <v>918</v>
      </c>
      <c r="D317" s="1286" t="s">
        <v>902</v>
      </c>
      <c r="E317" s="1311" t="s">
        <v>943</v>
      </c>
      <c r="F317" s="1281">
        <v>110206.80000000002</v>
      </c>
      <c r="G317" s="1338"/>
      <c r="H317" s="1282">
        <f t="shared" si="54"/>
        <v>0</v>
      </c>
      <c r="I317" s="1338"/>
      <c r="J317" s="1282">
        <f t="shared" si="55"/>
        <v>0</v>
      </c>
      <c r="K317" s="1338"/>
      <c r="L317" s="1282">
        <f t="shared" si="56"/>
        <v>0</v>
      </c>
      <c r="M317" s="1338"/>
      <c r="N317" s="1282">
        <f t="shared" si="57"/>
        <v>0</v>
      </c>
      <c r="O317" s="1338"/>
      <c r="P317" s="1282">
        <f t="shared" si="58"/>
        <v>0</v>
      </c>
      <c r="Q317" s="1338"/>
      <c r="R317" s="1282">
        <f t="shared" si="59"/>
        <v>0</v>
      </c>
      <c r="S317" s="1338"/>
      <c r="T317" s="1283">
        <f t="shared" si="60"/>
        <v>0</v>
      </c>
      <c r="U317" s="1284">
        <f t="shared" si="61"/>
        <v>0</v>
      </c>
      <c r="V317" s="1285">
        <f t="shared" si="62"/>
        <v>0</v>
      </c>
    </row>
    <row r="318" spans="2:22" ht="13.5">
      <c r="B318" s="1254" t="s">
        <v>2014</v>
      </c>
      <c r="C318" s="1254" t="s">
        <v>944</v>
      </c>
      <c r="D318" s="1255"/>
      <c r="E318" s="1255"/>
      <c r="F318" s="1302"/>
      <c r="G318" s="1339"/>
      <c r="H318" s="1296"/>
      <c r="I318" s="1339"/>
      <c r="J318" s="1296"/>
      <c r="K318" s="1339"/>
      <c r="L318" s="1296"/>
      <c r="M318" s="1339"/>
      <c r="N318" s="1296"/>
      <c r="O318" s="1339"/>
      <c r="P318" s="1296"/>
      <c r="Q318" s="1339"/>
      <c r="R318" s="1296"/>
      <c r="S318" s="1339"/>
      <c r="T318" s="1296"/>
      <c r="U318" s="1297"/>
      <c r="V318" s="1298"/>
    </row>
    <row r="319" spans="2:22" outlineLevel="1">
      <c r="B319" s="1278" t="s">
        <v>1716</v>
      </c>
      <c r="C319" s="1278" t="s">
        <v>944</v>
      </c>
      <c r="D319" s="1286" t="s">
        <v>945</v>
      </c>
      <c r="E319" s="1315" t="s">
        <v>946</v>
      </c>
      <c r="F319" s="1281">
        <v>328.88</v>
      </c>
      <c r="G319" s="1338"/>
      <c r="H319" s="1282">
        <f t="shared" ref="H319:H382" si="63">F319*G319</f>
        <v>0</v>
      </c>
      <c r="I319" s="1338"/>
      <c r="J319" s="1282">
        <f t="shared" si="55"/>
        <v>0</v>
      </c>
      <c r="K319" s="1338"/>
      <c r="L319" s="1282">
        <f t="shared" si="56"/>
        <v>0</v>
      </c>
      <c r="M319" s="1338"/>
      <c r="N319" s="1282">
        <f t="shared" si="57"/>
        <v>0</v>
      </c>
      <c r="O319" s="1338"/>
      <c r="P319" s="1282">
        <f t="shared" si="58"/>
        <v>0</v>
      </c>
      <c r="Q319" s="1338"/>
      <c r="R319" s="1282">
        <f t="shared" si="59"/>
        <v>0</v>
      </c>
      <c r="S319" s="1338"/>
      <c r="T319" s="1283">
        <f t="shared" si="60"/>
        <v>0</v>
      </c>
      <c r="U319" s="1284">
        <f t="shared" si="61"/>
        <v>0</v>
      </c>
      <c r="V319" s="1285">
        <f t="shared" si="62"/>
        <v>0</v>
      </c>
    </row>
    <row r="320" spans="2:22" outlineLevel="1">
      <c r="B320" s="1278" t="s">
        <v>1717</v>
      </c>
      <c r="C320" s="1278" t="s">
        <v>944</v>
      </c>
      <c r="D320" s="1286" t="s">
        <v>945</v>
      </c>
      <c r="E320" s="1251" t="s">
        <v>947</v>
      </c>
      <c r="F320" s="1281">
        <v>548.13</v>
      </c>
      <c r="G320" s="1338"/>
      <c r="H320" s="1282">
        <f t="shared" si="63"/>
        <v>0</v>
      </c>
      <c r="I320" s="1338"/>
      <c r="J320" s="1282">
        <f t="shared" ref="J320:J383" si="64">F320*I320</f>
        <v>0</v>
      </c>
      <c r="K320" s="1338"/>
      <c r="L320" s="1282">
        <f t="shared" ref="L320:L383" si="65">F320*K320</f>
        <v>0</v>
      </c>
      <c r="M320" s="1338"/>
      <c r="N320" s="1282">
        <f t="shared" ref="N320:N383" si="66">F320*M320</f>
        <v>0</v>
      </c>
      <c r="O320" s="1338"/>
      <c r="P320" s="1282">
        <f t="shared" ref="P320:P383" si="67">F320*O320</f>
        <v>0</v>
      </c>
      <c r="Q320" s="1338"/>
      <c r="R320" s="1282">
        <f t="shared" ref="R320:R383" si="68">F320*Q320</f>
        <v>0</v>
      </c>
      <c r="S320" s="1338"/>
      <c r="T320" s="1283">
        <f t="shared" ref="T320:T383" si="69">F320*S320</f>
        <v>0</v>
      </c>
      <c r="U320" s="1284">
        <f t="shared" si="61"/>
        <v>0</v>
      </c>
      <c r="V320" s="1285">
        <f t="shared" si="62"/>
        <v>0</v>
      </c>
    </row>
    <row r="321" spans="2:22" outlineLevel="1">
      <c r="B321" s="1278" t="s">
        <v>1718</v>
      </c>
      <c r="C321" s="1278" t="s">
        <v>944</v>
      </c>
      <c r="D321" s="1286" t="s">
        <v>945</v>
      </c>
      <c r="E321" s="1251" t="s">
        <v>948</v>
      </c>
      <c r="F321" s="1281">
        <v>789.3</v>
      </c>
      <c r="G321" s="1338"/>
      <c r="H321" s="1282">
        <f t="shared" si="63"/>
        <v>0</v>
      </c>
      <c r="I321" s="1338"/>
      <c r="J321" s="1282">
        <f t="shared" si="64"/>
        <v>0</v>
      </c>
      <c r="K321" s="1338"/>
      <c r="L321" s="1282">
        <f t="shared" si="65"/>
        <v>0</v>
      </c>
      <c r="M321" s="1338"/>
      <c r="N321" s="1282">
        <f t="shared" si="66"/>
        <v>0</v>
      </c>
      <c r="O321" s="1338"/>
      <c r="P321" s="1282">
        <f t="shared" si="67"/>
        <v>0</v>
      </c>
      <c r="Q321" s="1338"/>
      <c r="R321" s="1282">
        <f t="shared" si="68"/>
        <v>0</v>
      </c>
      <c r="S321" s="1338"/>
      <c r="T321" s="1283">
        <f t="shared" si="69"/>
        <v>0</v>
      </c>
      <c r="U321" s="1284">
        <f t="shared" si="61"/>
        <v>0</v>
      </c>
      <c r="V321" s="1285">
        <f t="shared" si="62"/>
        <v>0</v>
      </c>
    </row>
    <row r="322" spans="2:22" outlineLevel="1">
      <c r="B322" s="1278" t="s">
        <v>1719</v>
      </c>
      <c r="C322" s="1278" t="s">
        <v>944</v>
      </c>
      <c r="D322" s="1286" t="s">
        <v>945</v>
      </c>
      <c r="E322" s="1251" t="s">
        <v>949</v>
      </c>
      <c r="F322" s="1281">
        <v>1052.3999999999999</v>
      </c>
      <c r="G322" s="1338"/>
      <c r="H322" s="1282">
        <f t="shared" si="63"/>
        <v>0</v>
      </c>
      <c r="I322" s="1338"/>
      <c r="J322" s="1282">
        <f t="shared" si="64"/>
        <v>0</v>
      </c>
      <c r="K322" s="1338"/>
      <c r="L322" s="1282">
        <f t="shared" si="65"/>
        <v>0</v>
      </c>
      <c r="M322" s="1338"/>
      <c r="N322" s="1282">
        <f t="shared" si="66"/>
        <v>0</v>
      </c>
      <c r="O322" s="1338"/>
      <c r="P322" s="1282">
        <f t="shared" si="67"/>
        <v>0</v>
      </c>
      <c r="Q322" s="1338"/>
      <c r="R322" s="1282">
        <f t="shared" si="68"/>
        <v>0</v>
      </c>
      <c r="S322" s="1338"/>
      <c r="T322" s="1283">
        <f t="shared" si="69"/>
        <v>0</v>
      </c>
      <c r="U322" s="1284">
        <f t="shared" si="61"/>
        <v>0</v>
      </c>
      <c r="V322" s="1285">
        <f t="shared" si="62"/>
        <v>0</v>
      </c>
    </row>
    <row r="323" spans="2:22" outlineLevel="1">
      <c r="B323" s="1278" t="s">
        <v>1720</v>
      </c>
      <c r="C323" s="1278" t="s">
        <v>944</v>
      </c>
      <c r="D323" s="1286" t="s">
        <v>945</v>
      </c>
      <c r="E323" s="1251" t="s">
        <v>950</v>
      </c>
      <c r="F323" s="1281">
        <v>1315.4999999999998</v>
      </c>
      <c r="G323" s="1338"/>
      <c r="H323" s="1282">
        <f t="shared" si="63"/>
        <v>0</v>
      </c>
      <c r="I323" s="1338"/>
      <c r="J323" s="1282">
        <f t="shared" si="64"/>
        <v>0</v>
      </c>
      <c r="K323" s="1338"/>
      <c r="L323" s="1282">
        <f t="shared" si="65"/>
        <v>0</v>
      </c>
      <c r="M323" s="1338"/>
      <c r="N323" s="1282">
        <f t="shared" si="66"/>
        <v>0</v>
      </c>
      <c r="O323" s="1338"/>
      <c r="P323" s="1282">
        <f t="shared" si="67"/>
        <v>0</v>
      </c>
      <c r="Q323" s="1338"/>
      <c r="R323" s="1282">
        <f t="shared" si="68"/>
        <v>0</v>
      </c>
      <c r="S323" s="1338"/>
      <c r="T323" s="1283">
        <f t="shared" si="69"/>
        <v>0</v>
      </c>
      <c r="U323" s="1284">
        <f t="shared" si="61"/>
        <v>0</v>
      </c>
      <c r="V323" s="1285">
        <f t="shared" si="62"/>
        <v>0</v>
      </c>
    </row>
    <row r="324" spans="2:22" outlineLevel="1">
      <c r="B324" s="1278" t="s">
        <v>1721</v>
      </c>
      <c r="C324" s="1278" t="s">
        <v>944</v>
      </c>
      <c r="D324" s="1286" t="s">
        <v>945</v>
      </c>
      <c r="E324" s="1251" t="s">
        <v>951</v>
      </c>
      <c r="F324" s="1281">
        <v>1578.6</v>
      </c>
      <c r="G324" s="1338"/>
      <c r="H324" s="1282">
        <f t="shared" si="63"/>
        <v>0</v>
      </c>
      <c r="I324" s="1338"/>
      <c r="J324" s="1282">
        <f t="shared" si="64"/>
        <v>0</v>
      </c>
      <c r="K324" s="1338"/>
      <c r="L324" s="1282">
        <f t="shared" si="65"/>
        <v>0</v>
      </c>
      <c r="M324" s="1338"/>
      <c r="N324" s="1282">
        <f t="shared" si="66"/>
        <v>0</v>
      </c>
      <c r="O324" s="1338"/>
      <c r="P324" s="1282">
        <f t="shared" si="67"/>
        <v>0</v>
      </c>
      <c r="Q324" s="1338"/>
      <c r="R324" s="1282">
        <f t="shared" si="68"/>
        <v>0</v>
      </c>
      <c r="S324" s="1338"/>
      <c r="T324" s="1283">
        <f t="shared" si="69"/>
        <v>0</v>
      </c>
      <c r="U324" s="1284">
        <f t="shared" si="61"/>
        <v>0</v>
      </c>
      <c r="V324" s="1285">
        <f t="shared" si="62"/>
        <v>0</v>
      </c>
    </row>
    <row r="325" spans="2:22" outlineLevel="1">
      <c r="B325" s="1278" t="s">
        <v>1722</v>
      </c>
      <c r="C325" s="1278" t="s">
        <v>944</v>
      </c>
      <c r="D325" s="1286" t="s">
        <v>945</v>
      </c>
      <c r="E325" s="1251" t="s">
        <v>952</v>
      </c>
      <c r="F325" s="1281">
        <v>1841.6999999999998</v>
      </c>
      <c r="G325" s="1338"/>
      <c r="H325" s="1282">
        <f t="shared" si="63"/>
        <v>0</v>
      </c>
      <c r="I325" s="1338"/>
      <c r="J325" s="1282">
        <f t="shared" si="64"/>
        <v>0</v>
      </c>
      <c r="K325" s="1338"/>
      <c r="L325" s="1282">
        <f t="shared" si="65"/>
        <v>0</v>
      </c>
      <c r="M325" s="1338"/>
      <c r="N325" s="1282">
        <f t="shared" si="66"/>
        <v>0</v>
      </c>
      <c r="O325" s="1338"/>
      <c r="P325" s="1282">
        <f t="shared" si="67"/>
        <v>0</v>
      </c>
      <c r="Q325" s="1338"/>
      <c r="R325" s="1282">
        <f t="shared" si="68"/>
        <v>0</v>
      </c>
      <c r="S325" s="1338"/>
      <c r="T325" s="1283">
        <f t="shared" si="69"/>
        <v>0</v>
      </c>
      <c r="U325" s="1284">
        <f t="shared" si="61"/>
        <v>0</v>
      </c>
      <c r="V325" s="1285">
        <f t="shared" si="62"/>
        <v>0</v>
      </c>
    </row>
    <row r="326" spans="2:22" outlineLevel="1">
      <c r="B326" s="1278" t="s">
        <v>1723</v>
      </c>
      <c r="C326" s="1278" t="s">
        <v>944</v>
      </c>
      <c r="D326" s="1286" t="s">
        <v>945</v>
      </c>
      <c r="E326" s="1251" t="s">
        <v>953</v>
      </c>
      <c r="F326" s="1281">
        <v>2236.35</v>
      </c>
      <c r="G326" s="1338"/>
      <c r="H326" s="1282">
        <f t="shared" si="63"/>
        <v>0</v>
      </c>
      <c r="I326" s="1338"/>
      <c r="J326" s="1282">
        <f t="shared" si="64"/>
        <v>0</v>
      </c>
      <c r="K326" s="1338"/>
      <c r="L326" s="1282">
        <f t="shared" si="65"/>
        <v>0</v>
      </c>
      <c r="M326" s="1338"/>
      <c r="N326" s="1282">
        <f t="shared" si="66"/>
        <v>0</v>
      </c>
      <c r="O326" s="1338"/>
      <c r="P326" s="1282">
        <f t="shared" si="67"/>
        <v>0</v>
      </c>
      <c r="Q326" s="1338"/>
      <c r="R326" s="1282">
        <f t="shared" si="68"/>
        <v>0</v>
      </c>
      <c r="S326" s="1338"/>
      <c r="T326" s="1283">
        <f t="shared" si="69"/>
        <v>0</v>
      </c>
      <c r="U326" s="1284">
        <f t="shared" si="61"/>
        <v>0</v>
      </c>
      <c r="V326" s="1285">
        <f t="shared" si="62"/>
        <v>0</v>
      </c>
    </row>
    <row r="327" spans="2:22" outlineLevel="1">
      <c r="B327" s="1278" t="s">
        <v>1724</v>
      </c>
      <c r="C327" s="1278" t="s">
        <v>944</v>
      </c>
      <c r="D327" s="1286" t="s">
        <v>945</v>
      </c>
      <c r="E327" s="1251" t="s">
        <v>954</v>
      </c>
      <c r="F327" s="1281">
        <v>2762.5499999999997</v>
      </c>
      <c r="G327" s="1338"/>
      <c r="H327" s="1282">
        <f t="shared" si="63"/>
        <v>0</v>
      </c>
      <c r="I327" s="1338"/>
      <c r="J327" s="1282">
        <f t="shared" si="64"/>
        <v>0</v>
      </c>
      <c r="K327" s="1338"/>
      <c r="L327" s="1282">
        <f t="shared" si="65"/>
        <v>0</v>
      </c>
      <c r="M327" s="1338"/>
      <c r="N327" s="1282">
        <f t="shared" si="66"/>
        <v>0</v>
      </c>
      <c r="O327" s="1338"/>
      <c r="P327" s="1282">
        <f t="shared" si="67"/>
        <v>0</v>
      </c>
      <c r="Q327" s="1338"/>
      <c r="R327" s="1282">
        <f t="shared" si="68"/>
        <v>0</v>
      </c>
      <c r="S327" s="1338"/>
      <c r="T327" s="1283">
        <f t="shared" si="69"/>
        <v>0</v>
      </c>
      <c r="U327" s="1284">
        <f t="shared" si="61"/>
        <v>0</v>
      </c>
      <c r="V327" s="1285">
        <f t="shared" si="62"/>
        <v>0</v>
      </c>
    </row>
    <row r="328" spans="2:22" outlineLevel="1">
      <c r="B328" s="1278" t="s">
        <v>1725</v>
      </c>
      <c r="C328" s="1278" t="s">
        <v>944</v>
      </c>
      <c r="D328" s="1286" t="s">
        <v>945</v>
      </c>
      <c r="E328" s="1251" t="s">
        <v>955</v>
      </c>
      <c r="F328" s="1281">
        <v>3288.7499999999995</v>
      </c>
      <c r="G328" s="1338"/>
      <c r="H328" s="1282">
        <f t="shared" si="63"/>
        <v>0</v>
      </c>
      <c r="I328" s="1338"/>
      <c r="J328" s="1282">
        <f t="shared" si="64"/>
        <v>0</v>
      </c>
      <c r="K328" s="1338"/>
      <c r="L328" s="1282">
        <f t="shared" si="65"/>
        <v>0</v>
      </c>
      <c r="M328" s="1338"/>
      <c r="N328" s="1282">
        <f t="shared" si="66"/>
        <v>0</v>
      </c>
      <c r="O328" s="1338"/>
      <c r="P328" s="1282">
        <f t="shared" si="67"/>
        <v>0</v>
      </c>
      <c r="Q328" s="1338"/>
      <c r="R328" s="1282">
        <f t="shared" si="68"/>
        <v>0</v>
      </c>
      <c r="S328" s="1338"/>
      <c r="T328" s="1283">
        <f t="shared" si="69"/>
        <v>0</v>
      </c>
      <c r="U328" s="1284">
        <f t="shared" si="61"/>
        <v>0</v>
      </c>
      <c r="V328" s="1285">
        <f t="shared" si="62"/>
        <v>0</v>
      </c>
    </row>
    <row r="329" spans="2:22" outlineLevel="1">
      <c r="B329" s="1278" t="s">
        <v>1726</v>
      </c>
      <c r="C329" s="1278" t="s">
        <v>944</v>
      </c>
      <c r="D329" s="1286" t="s">
        <v>945</v>
      </c>
      <c r="E329" s="1251" t="s">
        <v>956</v>
      </c>
      <c r="F329" s="1281">
        <v>3814.9499999999994</v>
      </c>
      <c r="G329" s="1338"/>
      <c r="H329" s="1282">
        <f t="shared" si="63"/>
        <v>0</v>
      </c>
      <c r="I329" s="1338"/>
      <c r="J329" s="1282">
        <f t="shared" si="64"/>
        <v>0</v>
      </c>
      <c r="K329" s="1338"/>
      <c r="L329" s="1282">
        <f t="shared" si="65"/>
        <v>0</v>
      </c>
      <c r="M329" s="1338"/>
      <c r="N329" s="1282">
        <f t="shared" si="66"/>
        <v>0</v>
      </c>
      <c r="O329" s="1338"/>
      <c r="P329" s="1282">
        <f t="shared" si="67"/>
        <v>0</v>
      </c>
      <c r="Q329" s="1338"/>
      <c r="R329" s="1282">
        <f t="shared" si="68"/>
        <v>0</v>
      </c>
      <c r="S329" s="1338"/>
      <c r="T329" s="1283">
        <f t="shared" si="69"/>
        <v>0</v>
      </c>
      <c r="U329" s="1284">
        <f t="shared" si="61"/>
        <v>0</v>
      </c>
      <c r="V329" s="1285">
        <f t="shared" si="62"/>
        <v>0</v>
      </c>
    </row>
    <row r="330" spans="2:22" outlineLevel="1">
      <c r="B330" s="1278" t="s">
        <v>1727</v>
      </c>
      <c r="C330" s="1278" t="s">
        <v>944</v>
      </c>
      <c r="D330" s="1286" t="s">
        <v>945</v>
      </c>
      <c r="E330" s="1251" t="s">
        <v>957</v>
      </c>
      <c r="F330" s="1281">
        <v>4341.1499999999996</v>
      </c>
      <c r="G330" s="1338"/>
      <c r="H330" s="1282">
        <f t="shared" si="63"/>
        <v>0</v>
      </c>
      <c r="I330" s="1338"/>
      <c r="J330" s="1282">
        <f t="shared" si="64"/>
        <v>0</v>
      </c>
      <c r="K330" s="1338"/>
      <c r="L330" s="1282">
        <f t="shared" si="65"/>
        <v>0</v>
      </c>
      <c r="M330" s="1338"/>
      <c r="N330" s="1282">
        <f t="shared" si="66"/>
        <v>0</v>
      </c>
      <c r="O330" s="1338"/>
      <c r="P330" s="1282">
        <f t="shared" si="67"/>
        <v>0</v>
      </c>
      <c r="Q330" s="1338"/>
      <c r="R330" s="1282">
        <f t="shared" si="68"/>
        <v>0</v>
      </c>
      <c r="S330" s="1338"/>
      <c r="T330" s="1283">
        <f t="shared" si="69"/>
        <v>0</v>
      </c>
      <c r="U330" s="1284">
        <f t="shared" si="61"/>
        <v>0</v>
      </c>
      <c r="V330" s="1285">
        <f t="shared" si="62"/>
        <v>0</v>
      </c>
    </row>
    <row r="331" spans="2:22" outlineLevel="1">
      <c r="B331" s="1278" t="s">
        <v>1728</v>
      </c>
      <c r="C331" s="1278" t="s">
        <v>944</v>
      </c>
      <c r="D331" s="1286" t="s">
        <v>945</v>
      </c>
      <c r="E331" s="1251" t="s">
        <v>958</v>
      </c>
      <c r="F331" s="1281">
        <v>5130.4499999999989</v>
      </c>
      <c r="G331" s="1338"/>
      <c r="H331" s="1282">
        <f t="shared" si="63"/>
        <v>0</v>
      </c>
      <c r="I331" s="1338"/>
      <c r="J331" s="1282">
        <f t="shared" si="64"/>
        <v>0</v>
      </c>
      <c r="K331" s="1338"/>
      <c r="L331" s="1282">
        <f t="shared" si="65"/>
        <v>0</v>
      </c>
      <c r="M331" s="1338"/>
      <c r="N331" s="1282">
        <f t="shared" si="66"/>
        <v>0</v>
      </c>
      <c r="O331" s="1338"/>
      <c r="P331" s="1282">
        <f t="shared" si="67"/>
        <v>0</v>
      </c>
      <c r="Q331" s="1338"/>
      <c r="R331" s="1282">
        <f t="shared" si="68"/>
        <v>0</v>
      </c>
      <c r="S331" s="1338"/>
      <c r="T331" s="1283">
        <f t="shared" si="69"/>
        <v>0</v>
      </c>
      <c r="U331" s="1284">
        <f t="shared" si="61"/>
        <v>0</v>
      </c>
      <c r="V331" s="1285">
        <f t="shared" si="62"/>
        <v>0</v>
      </c>
    </row>
    <row r="332" spans="2:22" outlineLevel="1">
      <c r="B332" s="1278" t="s">
        <v>1729</v>
      </c>
      <c r="C332" s="1278" t="s">
        <v>944</v>
      </c>
      <c r="D332" s="1286" t="s">
        <v>945</v>
      </c>
      <c r="E332" s="1251" t="s">
        <v>959</v>
      </c>
      <c r="F332" s="1281">
        <v>6182.8499999999995</v>
      </c>
      <c r="G332" s="1338"/>
      <c r="H332" s="1282">
        <f t="shared" si="63"/>
        <v>0</v>
      </c>
      <c r="I332" s="1338"/>
      <c r="J332" s="1282">
        <f t="shared" si="64"/>
        <v>0</v>
      </c>
      <c r="K332" s="1338"/>
      <c r="L332" s="1282">
        <f t="shared" si="65"/>
        <v>0</v>
      </c>
      <c r="M332" s="1338"/>
      <c r="N332" s="1282">
        <f t="shared" si="66"/>
        <v>0</v>
      </c>
      <c r="O332" s="1338"/>
      <c r="P332" s="1282">
        <f t="shared" si="67"/>
        <v>0</v>
      </c>
      <c r="Q332" s="1338"/>
      <c r="R332" s="1282">
        <f t="shared" si="68"/>
        <v>0</v>
      </c>
      <c r="S332" s="1338"/>
      <c r="T332" s="1283">
        <f t="shared" si="69"/>
        <v>0</v>
      </c>
      <c r="U332" s="1284">
        <f t="shared" si="61"/>
        <v>0</v>
      </c>
      <c r="V332" s="1285">
        <f t="shared" si="62"/>
        <v>0</v>
      </c>
    </row>
    <row r="333" spans="2:22" outlineLevel="1">
      <c r="B333" s="1278" t="s">
        <v>1730</v>
      </c>
      <c r="C333" s="1278" t="s">
        <v>944</v>
      </c>
      <c r="D333" s="1286" t="s">
        <v>945</v>
      </c>
      <c r="E333" s="1251" t="s">
        <v>960</v>
      </c>
      <c r="F333" s="1281">
        <v>7235.2499999999991</v>
      </c>
      <c r="G333" s="1338"/>
      <c r="H333" s="1282">
        <f t="shared" si="63"/>
        <v>0</v>
      </c>
      <c r="I333" s="1338"/>
      <c r="J333" s="1282">
        <f t="shared" si="64"/>
        <v>0</v>
      </c>
      <c r="K333" s="1338"/>
      <c r="L333" s="1282">
        <f t="shared" si="65"/>
        <v>0</v>
      </c>
      <c r="M333" s="1338"/>
      <c r="N333" s="1282">
        <f t="shared" si="66"/>
        <v>0</v>
      </c>
      <c r="O333" s="1338"/>
      <c r="P333" s="1282">
        <f t="shared" si="67"/>
        <v>0</v>
      </c>
      <c r="Q333" s="1338"/>
      <c r="R333" s="1282">
        <f t="shared" si="68"/>
        <v>0</v>
      </c>
      <c r="S333" s="1338"/>
      <c r="T333" s="1283">
        <f t="shared" si="69"/>
        <v>0</v>
      </c>
      <c r="U333" s="1284">
        <f t="shared" si="61"/>
        <v>0</v>
      </c>
      <c r="V333" s="1285">
        <f t="shared" si="62"/>
        <v>0</v>
      </c>
    </row>
    <row r="334" spans="2:22" outlineLevel="1">
      <c r="B334" s="1278" t="s">
        <v>1731</v>
      </c>
      <c r="C334" s="1278" t="s">
        <v>944</v>
      </c>
      <c r="D334" s="1286" t="s">
        <v>945</v>
      </c>
      <c r="E334" s="1251" t="s">
        <v>961</v>
      </c>
      <c r="F334" s="1281">
        <v>8287.65</v>
      </c>
      <c r="G334" s="1338"/>
      <c r="H334" s="1282">
        <f t="shared" si="63"/>
        <v>0</v>
      </c>
      <c r="I334" s="1338"/>
      <c r="J334" s="1282">
        <f t="shared" si="64"/>
        <v>0</v>
      </c>
      <c r="K334" s="1338"/>
      <c r="L334" s="1282">
        <f t="shared" si="65"/>
        <v>0</v>
      </c>
      <c r="M334" s="1338"/>
      <c r="N334" s="1282">
        <f t="shared" si="66"/>
        <v>0</v>
      </c>
      <c r="O334" s="1338"/>
      <c r="P334" s="1282">
        <f t="shared" si="67"/>
        <v>0</v>
      </c>
      <c r="Q334" s="1338"/>
      <c r="R334" s="1282">
        <f t="shared" si="68"/>
        <v>0</v>
      </c>
      <c r="S334" s="1338"/>
      <c r="T334" s="1283">
        <f t="shared" si="69"/>
        <v>0</v>
      </c>
      <c r="U334" s="1284">
        <f t="shared" si="61"/>
        <v>0</v>
      </c>
      <c r="V334" s="1285">
        <f t="shared" si="62"/>
        <v>0</v>
      </c>
    </row>
    <row r="335" spans="2:22" outlineLevel="1">
      <c r="B335" s="1278" t="s">
        <v>1732</v>
      </c>
      <c r="C335" s="1278" t="s">
        <v>944</v>
      </c>
      <c r="D335" s="1286" t="s">
        <v>945</v>
      </c>
      <c r="E335" s="1251" t="s">
        <v>962</v>
      </c>
      <c r="F335" s="1281">
        <v>9340.0499999999993</v>
      </c>
      <c r="G335" s="1338"/>
      <c r="H335" s="1282">
        <f t="shared" si="63"/>
        <v>0</v>
      </c>
      <c r="I335" s="1338"/>
      <c r="J335" s="1282">
        <f t="shared" si="64"/>
        <v>0</v>
      </c>
      <c r="K335" s="1338"/>
      <c r="L335" s="1282">
        <f t="shared" si="65"/>
        <v>0</v>
      </c>
      <c r="M335" s="1338"/>
      <c r="N335" s="1282">
        <f t="shared" si="66"/>
        <v>0</v>
      </c>
      <c r="O335" s="1338"/>
      <c r="P335" s="1282">
        <f t="shared" si="67"/>
        <v>0</v>
      </c>
      <c r="Q335" s="1338"/>
      <c r="R335" s="1282">
        <f t="shared" si="68"/>
        <v>0</v>
      </c>
      <c r="S335" s="1338"/>
      <c r="T335" s="1283">
        <f t="shared" si="69"/>
        <v>0</v>
      </c>
      <c r="U335" s="1284">
        <f t="shared" si="61"/>
        <v>0</v>
      </c>
      <c r="V335" s="1285">
        <f t="shared" si="62"/>
        <v>0</v>
      </c>
    </row>
    <row r="336" spans="2:22" outlineLevel="1">
      <c r="B336" s="1278" t="s">
        <v>1733</v>
      </c>
      <c r="C336" s="1278" t="s">
        <v>944</v>
      </c>
      <c r="D336" s="1286" t="s">
        <v>945</v>
      </c>
      <c r="E336" s="1251" t="s">
        <v>963</v>
      </c>
      <c r="F336" s="1281">
        <v>10918.649999999998</v>
      </c>
      <c r="G336" s="1338"/>
      <c r="H336" s="1282">
        <f t="shared" si="63"/>
        <v>0</v>
      </c>
      <c r="I336" s="1338"/>
      <c r="J336" s="1282">
        <f t="shared" si="64"/>
        <v>0</v>
      </c>
      <c r="K336" s="1338"/>
      <c r="L336" s="1282">
        <f t="shared" si="65"/>
        <v>0</v>
      </c>
      <c r="M336" s="1338"/>
      <c r="N336" s="1282">
        <f t="shared" si="66"/>
        <v>0</v>
      </c>
      <c r="O336" s="1338"/>
      <c r="P336" s="1282">
        <f t="shared" si="67"/>
        <v>0</v>
      </c>
      <c r="Q336" s="1338"/>
      <c r="R336" s="1282">
        <f t="shared" si="68"/>
        <v>0</v>
      </c>
      <c r="S336" s="1338"/>
      <c r="T336" s="1283">
        <f t="shared" si="69"/>
        <v>0</v>
      </c>
      <c r="U336" s="1284">
        <f t="shared" si="61"/>
        <v>0</v>
      </c>
      <c r="V336" s="1285">
        <f t="shared" si="62"/>
        <v>0</v>
      </c>
    </row>
    <row r="337" spans="2:22" outlineLevel="1">
      <c r="B337" s="1278" t="s">
        <v>1734</v>
      </c>
      <c r="C337" s="1278" t="s">
        <v>944</v>
      </c>
      <c r="D337" s="1286" t="s">
        <v>945</v>
      </c>
      <c r="E337" s="1251" t="s">
        <v>964</v>
      </c>
      <c r="F337" s="1281">
        <v>13023.449999999999</v>
      </c>
      <c r="G337" s="1338"/>
      <c r="H337" s="1282">
        <f t="shared" si="63"/>
        <v>0</v>
      </c>
      <c r="I337" s="1338"/>
      <c r="J337" s="1282">
        <f t="shared" si="64"/>
        <v>0</v>
      </c>
      <c r="K337" s="1338"/>
      <c r="L337" s="1282">
        <f t="shared" si="65"/>
        <v>0</v>
      </c>
      <c r="M337" s="1338"/>
      <c r="N337" s="1282">
        <f t="shared" si="66"/>
        <v>0</v>
      </c>
      <c r="O337" s="1338"/>
      <c r="P337" s="1282">
        <f t="shared" si="67"/>
        <v>0</v>
      </c>
      <c r="Q337" s="1338"/>
      <c r="R337" s="1282">
        <f t="shared" si="68"/>
        <v>0</v>
      </c>
      <c r="S337" s="1338"/>
      <c r="T337" s="1283">
        <f t="shared" si="69"/>
        <v>0</v>
      </c>
      <c r="U337" s="1284">
        <f t="shared" si="61"/>
        <v>0</v>
      </c>
      <c r="V337" s="1285">
        <f t="shared" si="62"/>
        <v>0</v>
      </c>
    </row>
    <row r="338" spans="2:22" outlineLevel="1">
      <c r="B338" s="1278" t="s">
        <v>1735</v>
      </c>
      <c r="C338" s="1278" t="s">
        <v>944</v>
      </c>
      <c r="D338" s="1286" t="s">
        <v>945</v>
      </c>
      <c r="E338" s="1251" t="s">
        <v>965</v>
      </c>
      <c r="F338" s="1281">
        <v>15128.249999999998</v>
      </c>
      <c r="G338" s="1338"/>
      <c r="H338" s="1282">
        <f t="shared" si="63"/>
        <v>0</v>
      </c>
      <c r="I338" s="1338"/>
      <c r="J338" s="1282">
        <f t="shared" si="64"/>
        <v>0</v>
      </c>
      <c r="K338" s="1338"/>
      <c r="L338" s="1282">
        <f t="shared" si="65"/>
        <v>0</v>
      </c>
      <c r="M338" s="1338"/>
      <c r="N338" s="1282">
        <f t="shared" si="66"/>
        <v>0</v>
      </c>
      <c r="O338" s="1338"/>
      <c r="P338" s="1282">
        <f t="shared" si="67"/>
        <v>0</v>
      </c>
      <c r="Q338" s="1338"/>
      <c r="R338" s="1282">
        <f t="shared" si="68"/>
        <v>0</v>
      </c>
      <c r="S338" s="1338"/>
      <c r="T338" s="1283">
        <f t="shared" si="69"/>
        <v>0</v>
      </c>
      <c r="U338" s="1284">
        <f t="shared" si="61"/>
        <v>0</v>
      </c>
      <c r="V338" s="1285">
        <f t="shared" si="62"/>
        <v>0</v>
      </c>
    </row>
    <row r="339" spans="2:22" outlineLevel="1">
      <c r="B339" s="1278" t="s">
        <v>1736</v>
      </c>
      <c r="C339" s="1278" t="s">
        <v>944</v>
      </c>
      <c r="D339" s="1286" t="s">
        <v>945</v>
      </c>
      <c r="E339" s="1251" t="s">
        <v>966</v>
      </c>
      <c r="F339" s="1281">
        <v>17233.05</v>
      </c>
      <c r="G339" s="1338"/>
      <c r="H339" s="1282">
        <f t="shared" si="63"/>
        <v>0</v>
      </c>
      <c r="I339" s="1338"/>
      <c r="J339" s="1282">
        <f t="shared" si="64"/>
        <v>0</v>
      </c>
      <c r="K339" s="1338"/>
      <c r="L339" s="1282">
        <f t="shared" si="65"/>
        <v>0</v>
      </c>
      <c r="M339" s="1338"/>
      <c r="N339" s="1282">
        <f t="shared" si="66"/>
        <v>0</v>
      </c>
      <c r="O339" s="1338"/>
      <c r="P339" s="1282">
        <f t="shared" si="67"/>
        <v>0</v>
      </c>
      <c r="Q339" s="1338"/>
      <c r="R339" s="1282">
        <f t="shared" si="68"/>
        <v>0</v>
      </c>
      <c r="S339" s="1338"/>
      <c r="T339" s="1283">
        <f t="shared" si="69"/>
        <v>0</v>
      </c>
      <c r="U339" s="1284">
        <f t="shared" si="61"/>
        <v>0</v>
      </c>
      <c r="V339" s="1285">
        <f t="shared" si="62"/>
        <v>0</v>
      </c>
    </row>
    <row r="340" spans="2:22" outlineLevel="1">
      <c r="B340" s="1278" t="s">
        <v>1737</v>
      </c>
      <c r="C340" s="1278" t="s">
        <v>944</v>
      </c>
      <c r="D340" s="1286" t="s">
        <v>945</v>
      </c>
      <c r="E340" s="1251" t="s">
        <v>967</v>
      </c>
      <c r="F340" s="1281">
        <v>19337.849999999999</v>
      </c>
      <c r="G340" s="1338"/>
      <c r="H340" s="1282">
        <f t="shared" si="63"/>
        <v>0</v>
      </c>
      <c r="I340" s="1338"/>
      <c r="J340" s="1282">
        <f t="shared" si="64"/>
        <v>0</v>
      </c>
      <c r="K340" s="1338"/>
      <c r="L340" s="1282">
        <f t="shared" si="65"/>
        <v>0</v>
      </c>
      <c r="M340" s="1338"/>
      <c r="N340" s="1282">
        <f t="shared" si="66"/>
        <v>0</v>
      </c>
      <c r="O340" s="1338"/>
      <c r="P340" s="1282">
        <f t="shared" si="67"/>
        <v>0</v>
      </c>
      <c r="Q340" s="1338"/>
      <c r="R340" s="1282">
        <f t="shared" si="68"/>
        <v>0</v>
      </c>
      <c r="S340" s="1338"/>
      <c r="T340" s="1283">
        <f t="shared" si="69"/>
        <v>0</v>
      </c>
      <c r="U340" s="1284">
        <f t="shared" si="61"/>
        <v>0</v>
      </c>
      <c r="V340" s="1285">
        <f t="shared" si="62"/>
        <v>0</v>
      </c>
    </row>
    <row r="341" spans="2:22" outlineLevel="1">
      <c r="B341" s="1278" t="s">
        <v>1738</v>
      </c>
      <c r="C341" s="1278" t="s">
        <v>944</v>
      </c>
      <c r="D341" s="1286" t="s">
        <v>945</v>
      </c>
      <c r="E341" s="1251" t="s">
        <v>968</v>
      </c>
      <c r="F341" s="1281">
        <v>21442.649999999998</v>
      </c>
      <c r="G341" s="1338"/>
      <c r="H341" s="1282">
        <f t="shared" si="63"/>
        <v>0</v>
      </c>
      <c r="I341" s="1338"/>
      <c r="J341" s="1282">
        <f t="shared" si="64"/>
        <v>0</v>
      </c>
      <c r="K341" s="1338"/>
      <c r="L341" s="1282">
        <f t="shared" si="65"/>
        <v>0</v>
      </c>
      <c r="M341" s="1338"/>
      <c r="N341" s="1282">
        <f t="shared" si="66"/>
        <v>0</v>
      </c>
      <c r="O341" s="1338"/>
      <c r="P341" s="1282">
        <f t="shared" si="67"/>
        <v>0</v>
      </c>
      <c r="Q341" s="1338"/>
      <c r="R341" s="1282">
        <f t="shared" si="68"/>
        <v>0</v>
      </c>
      <c r="S341" s="1338"/>
      <c r="T341" s="1283">
        <f t="shared" si="69"/>
        <v>0</v>
      </c>
      <c r="U341" s="1284">
        <f t="shared" si="61"/>
        <v>0</v>
      </c>
      <c r="V341" s="1285">
        <f t="shared" si="62"/>
        <v>0</v>
      </c>
    </row>
    <row r="342" spans="2:22" ht="13.5">
      <c r="B342" s="1254" t="s">
        <v>2015</v>
      </c>
      <c r="C342" s="1254" t="s">
        <v>969</v>
      </c>
      <c r="D342" s="1254"/>
      <c r="E342" s="1255"/>
      <c r="F342" s="1302"/>
      <c r="G342" s="1339"/>
      <c r="H342" s="1296"/>
      <c r="I342" s="1339"/>
      <c r="J342" s="1296"/>
      <c r="K342" s="1339"/>
      <c r="L342" s="1296"/>
      <c r="M342" s="1339"/>
      <c r="N342" s="1296"/>
      <c r="O342" s="1339"/>
      <c r="P342" s="1296"/>
      <c r="Q342" s="1339"/>
      <c r="R342" s="1296"/>
      <c r="S342" s="1339"/>
      <c r="T342" s="1296"/>
      <c r="U342" s="1297"/>
      <c r="V342" s="1298"/>
    </row>
    <row r="343" spans="2:22" outlineLevel="1">
      <c r="B343" s="1316" t="s">
        <v>1739</v>
      </c>
      <c r="C343" s="1278" t="s">
        <v>969</v>
      </c>
      <c r="D343" s="1286" t="s">
        <v>970</v>
      </c>
      <c r="E343" s="1317" t="s">
        <v>971</v>
      </c>
      <c r="F343" s="1281">
        <v>644.71999999999991</v>
      </c>
      <c r="G343" s="1338"/>
      <c r="H343" s="1282">
        <f t="shared" si="63"/>
        <v>0</v>
      </c>
      <c r="I343" s="1338"/>
      <c r="J343" s="1282">
        <f t="shared" si="64"/>
        <v>0</v>
      </c>
      <c r="K343" s="1338"/>
      <c r="L343" s="1282">
        <f t="shared" si="65"/>
        <v>0</v>
      </c>
      <c r="M343" s="1338"/>
      <c r="N343" s="1282">
        <f t="shared" si="66"/>
        <v>0</v>
      </c>
      <c r="O343" s="1338"/>
      <c r="P343" s="1282">
        <f t="shared" si="67"/>
        <v>0</v>
      </c>
      <c r="Q343" s="1338"/>
      <c r="R343" s="1282">
        <f t="shared" si="68"/>
        <v>0</v>
      </c>
      <c r="S343" s="1338"/>
      <c r="T343" s="1283">
        <f t="shared" si="69"/>
        <v>0</v>
      </c>
      <c r="U343" s="1284">
        <f t="shared" si="61"/>
        <v>0</v>
      </c>
      <c r="V343" s="1285">
        <f t="shared" si="62"/>
        <v>0</v>
      </c>
    </row>
    <row r="344" spans="2:22" outlineLevel="1">
      <c r="B344" s="1316" t="s">
        <v>1740</v>
      </c>
      <c r="C344" s="1278" t="s">
        <v>969</v>
      </c>
      <c r="D344" s="1286" t="s">
        <v>970</v>
      </c>
      <c r="E344" s="1317" t="s">
        <v>972</v>
      </c>
      <c r="F344" s="1281">
        <v>1047.6699999999998</v>
      </c>
      <c r="G344" s="1338"/>
      <c r="H344" s="1282">
        <f t="shared" si="63"/>
        <v>0</v>
      </c>
      <c r="I344" s="1338"/>
      <c r="J344" s="1282">
        <f t="shared" si="64"/>
        <v>0</v>
      </c>
      <c r="K344" s="1338"/>
      <c r="L344" s="1282">
        <f t="shared" si="65"/>
        <v>0</v>
      </c>
      <c r="M344" s="1338"/>
      <c r="N344" s="1282">
        <f t="shared" si="66"/>
        <v>0</v>
      </c>
      <c r="O344" s="1338"/>
      <c r="P344" s="1282">
        <f t="shared" si="67"/>
        <v>0</v>
      </c>
      <c r="Q344" s="1338"/>
      <c r="R344" s="1282">
        <f t="shared" si="68"/>
        <v>0</v>
      </c>
      <c r="S344" s="1338"/>
      <c r="T344" s="1283">
        <f t="shared" si="69"/>
        <v>0</v>
      </c>
      <c r="U344" s="1284">
        <f t="shared" si="61"/>
        <v>0</v>
      </c>
      <c r="V344" s="1285">
        <f t="shared" si="62"/>
        <v>0</v>
      </c>
    </row>
    <row r="345" spans="2:22" outlineLevel="1">
      <c r="B345" s="1316" t="s">
        <v>1741</v>
      </c>
      <c r="C345" s="1278" t="s">
        <v>969</v>
      </c>
      <c r="D345" s="1286" t="s">
        <v>970</v>
      </c>
      <c r="E345" s="1317" t="s">
        <v>973</v>
      </c>
      <c r="F345" s="1281">
        <v>1611.8</v>
      </c>
      <c r="G345" s="1338"/>
      <c r="H345" s="1282">
        <f t="shared" si="63"/>
        <v>0</v>
      </c>
      <c r="I345" s="1338"/>
      <c r="J345" s="1282">
        <f t="shared" si="64"/>
        <v>0</v>
      </c>
      <c r="K345" s="1338"/>
      <c r="L345" s="1282">
        <f t="shared" si="65"/>
        <v>0</v>
      </c>
      <c r="M345" s="1338"/>
      <c r="N345" s="1282">
        <f t="shared" si="66"/>
        <v>0</v>
      </c>
      <c r="O345" s="1338"/>
      <c r="P345" s="1282">
        <f t="shared" si="67"/>
        <v>0</v>
      </c>
      <c r="Q345" s="1338"/>
      <c r="R345" s="1282">
        <f t="shared" si="68"/>
        <v>0</v>
      </c>
      <c r="S345" s="1338"/>
      <c r="T345" s="1283">
        <f t="shared" si="69"/>
        <v>0</v>
      </c>
      <c r="U345" s="1284">
        <f t="shared" si="61"/>
        <v>0</v>
      </c>
      <c r="V345" s="1285">
        <f t="shared" si="62"/>
        <v>0</v>
      </c>
    </row>
    <row r="346" spans="2:22" outlineLevel="1">
      <c r="B346" s="1316" t="s">
        <v>1742</v>
      </c>
      <c r="C346" s="1278" t="s">
        <v>969</v>
      </c>
      <c r="D346" s="1286" t="s">
        <v>970</v>
      </c>
      <c r="E346" s="1317" t="s">
        <v>974</v>
      </c>
      <c r="F346" s="1281">
        <v>2256.52</v>
      </c>
      <c r="G346" s="1338"/>
      <c r="H346" s="1282">
        <f t="shared" si="63"/>
        <v>0</v>
      </c>
      <c r="I346" s="1338"/>
      <c r="J346" s="1282">
        <f t="shared" si="64"/>
        <v>0</v>
      </c>
      <c r="K346" s="1338"/>
      <c r="L346" s="1282">
        <f t="shared" si="65"/>
        <v>0</v>
      </c>
      <c r="M346" s="1338"/>
      <c r="N346" s="1282">
        <f t="shared" si="66"/>
        <v>0</v>
      </c>
      <c r="O346" s="1338"/>
      <c r="P346" s="1282">
        <f t="shared" si="67"/>
        <v>0</v>
      </c>
      <c r="Q346" s="1338"/>
      <c r="R346" s="1282">
        <f t="shared" si="68"/>
        <v>0</v>
      </c>
      <c r="S346" s="1338"/>
      <c r="T346" s="1283">
        <f t="shared" si="69"/>
        <v>0</v>
      </c>
      <c r="U346" s="1284">
        <f t="shared" si="61"/>
        <v>0</v>
      </c>
      <c r="V346" s="1285">
        <f t="shared" si="62"/>
        <v>0</v>
      </c>
    </row>
    <row r="347" spans="2:22" outlineLevel="1">
      <c r="B347" s="1316" t="s">
        <v>1743</v>
      </c>
      <c r="C347" s="1278" t="s">
        <v>969</v>
      </c>
      <c r="D347" s="1286" t="s">
        <v>970</v>
      </c>
      <c r="E347" s="1317" t="s">
        <v>975</v>
      </c>
      <c r="F347" s="1281">
        <v>2901.24</v>
      </c>
      <c r="G347" s="1338"/>
      <c r="H347" s="1282">
        <f t="shared" si="63"/>
        <v>0</v>
      </c>
      <c r="I347" s="1338"/>
      <c r="J347" s="1282">
        <f t="shared" si="64"/>
        <v>0</v>
      </c>
      <c r="K347" s="1338"/>
      <c r="L347" s="1282">
        <f t="shared" si="65"/>
        <v>0</v>
      </c>
      <c r="M347" s="1338"/>
      <c r="N347" s="1282">
        <f t="shared" si="66"/>
        <v>0</v>
      </c>
      <c r="O347" s="1338"/>
      <c r="P347" s="1282">
        <f t="shared" si="67"/>
        <v>0</v>
      </c>
      <c r="Q347" s="1338"/>
      <c r="R347" s="1282">
        <f t="shared" si="68"/>
        <v>0</v>
      </c>
      <c r="S347" s="1338"/>
      <c r="T347" s="1283">
        <f t="shared" si="69"/>
        <v>0</v>
      </c>
      <c r="U347" s="1284">
        <f t="shared" si="61"/>
        <v>0</v>
      </c>
      <c r="V347" s="1285">
        <f t="shared" si="62"/>
        <v>0</v>
      </c>
    </row>
    <row r="348" spans="2:22" outlineLevel="1">
      <c r="B348" s="1316" t="s">
        <v>1744</v>
      </c>
      <c r="C348" s="1278" t="s">
        <v>969</v>
      </c>
      <c r="D348" s="1286" t="s">
        <v>970</v>
      </c>
      <c r="E348" s="1317" t="s">
        <v>823</v>
      </c>
      <c r="F348" s="1281">
        <v>3545.9599999999996</v>
      </c>
      <c r="G348" s="1338"/>
      <c r="H348" s="1282">
        <f t="shared" si="63"/>
        <v>0</v>
      </c>
      <c r="I348" s="1338"/>
      <c r="J348" s="1282">
        <f t="shared" si="64"/>
        <v>0</v>
      </c>
      <c r="K348" s="1338"/>
      <c r="L348" s="1282">
        <f t="shared" si="65"/>
        <v>0</v>
      </c>
      <c r="M348" s="1338"/>
      <c r="N348" s="1282">
        <f t="shared" si="66"/>
        <v>0</v>
      </c>
      <c r="O348" s="1338"/>
      <c r="P348" s="1282">
        <f t="shared" si="67"/>
        <v>0</v>
      </c>
      <c r="Q348" s="1338"/>
      <c r="R348" s="1282">
        <f t="shared" si="68"/>
        <v>0</v>
      </c>
      <c r="S348" s="1338"/>
      <c r="T348" s="1283">
        <f t="shared" si="69"/>
        <v>0</v>
      </c>
      <c r="U348" s="1284">
        <f t="shared" si="61"/>
        <v>0</v>
      </c>
      <c r="V348" s="1285">
        <f t="shared" si="62"/>
        <v>0</v>
      </c>
    </row>
    <row r="349" spans="2:22" outlineLevel="1">
      <c r="B349" s="1316" t="s">
        <v>1745</v>
      </c>
      <c r="C349" s="1278" t="s">
        <v>969</v>
      </c>
      <c r="D349" s="1286" t="s">
        <v>970</v>
      </c>
      <c r="E349" s="1317" t="s">
        <v>773</v>
      </c>
      <c r="F349" s="1281">
        <v>4190.6799999999994</v>
      </c>
      <c r="G349" s="1338"/>
      <c r="H349" s="1282">
        <f t="shared" si="63"/>
        <v>0</v>
      </c>
      <c r="I349" s="1338"/>
      <c r="J349" s="1282">
        <f t="shared" si="64"/>
        <v>0</v>
      </c>
      <c r="K349" s="1338"/>
      <c r="L349" s="1282">
        <f t="shared" si="65"/>
        <v>0</v>
      </c>
      <c r="M349" s="1338"/>
      <c r="N349" s="1282">
        <f t="shared" si="66"/>
        <v>0</v>
      </c>
      <c r="O349" s="1338"/>
      <c r="P349" s="1282">
        <f t="shared" si="67"/>
        <v>0</v>
      </c>
      <c r="Q349" s="1338"/>
      <c r="R349" s="1282">
        <f t="shared" si="68"/>
        <v>0</v>
      </c>
      <c r="S349" s="1338"/>
      <c r="T349" s="1283">
        <f t="shared" si="69"/>
        <v>0</v>
      </c>
      <c r="U349" s="1284">
        <f t="shared" si="61"/>
        <v>0</v>
      </c>
      <c r="V349" s="1285">
        <f t="shared" si="62"/>
        <v>0</v>
      </c>
    </row>
    <row r="350" spans="2:22" outlineLevel="1">
      <c r="B350" s="1316" t="s">
        <v>1746</v>
      </c>
      <c r="C350" s="1278" t="s">
        <v>969</v>
      </c>
      <c r="D350" s="1286" t="s">
        <v>970</v>
      </c>
      <c r="E350" s="1317" t="s">
        <v>774</v>
      </c>
      <c r="F350" s="1281">
        <v>4835.3999999999996</v>
      </c>
      <c r="G350" s="1338"/>
      <c r="H350" s="1282">
        <f t="shared" si="63"/>
        <v>0</v>
      </c>
      <c r="I350" s="1338"/>
      <c r="J350" s="1282">
        <f t="shared" si="64"/>
        <v>0</v>
      </c>
      <c r="K350" s="1338"/>
      <c r="L350" s="1282">
        <f t="shared" si="65"/>
        <v>0</v>
      </c>
      <c r="M350" s="1338"/>
      <c r="N350" s="1282">
        <f t="shared" si="66"/>
        <v>0</v>
      </c>
      <c r="O350" s="1338"/>
      <c r="P350" s="1282">
        <f t="shared" si="67"/>
        <v>0</v>
      </c>
      <c r="Q350" s="1338"/>
      <c r="R350" s="1282">
        <f t="shared" si="68"/>
        <v>0</v>
      </c>
      <c r="S350" s="1338"/>
      <c r="T350" s="1283">
        <f t="shared" si="69"/>
        <v>0</v>
      </c>
      <c r="U350" s="1284">
        <f t="shared" si="61"/>
        <v>0</v>
      </c>
      <c r="V350" s="1285">
        <f t="shared" si="62"/>
        <v>0</v>
      </c>
    </row>
    <row r="351" spans="2:22" outlineLevel="1">
      <c r="B351" s="1316" t="s">
        <v>1747</v>
      </c>
      <c r="C351" s="1278" t="s">
        <v>969</v>
      </c>
      <c r="D351" s="1286" t="s">
        <v>970</v>
      </c>
      <c r="E351" s="1317" t="s">
        <v>775</v>
      </c>
      <c r="F351" s="1281">
        <v>5480.12</v>
      </c>
      <c r="G351" s="1338"/>
      <c r="H351" s="1282">
        <f t="shared" si="63"/>
        <v>0</v>
      </c>
      <c r="I351" s="1338"/>
      <c r="J351" s="1282">
        <f t="shared" si="64"/>
        <v>0</v>
      </c>
      <c r="K351" s="1338"/>
      <c r="L351" s="1282">
        <f t="shared" si="65"/>
        <v>0</v>
      </c>
      <c r="M351" s="1338"/>
      <c r="N351" s="1282">
        <f t="shared" si="66"/>
        <v>0</v>
      </c>
      <c r="O351" s="1338"/>
      <c r="P351" s="1282">
        <f t="shared" si="67"/>
        <v>0</v>
      </c>
      <c r="Q351" s="1338"/>
      <c r="R351" s="1282">
        <f t="shared" si="68"/>
        <v>0</v>
      </c>
      <c r="S351" s="1338"/>
      <c r="T351" s="1283">
        <f t="shared" si="69"/>
        <v>0</v>
      </c>
      <c r="U351" s="1284">
        <f t="shared" si="61"/>
        <v>0</v>
      </c>
      <c r="V351" s="1285">
        <f t="shared" si="62"/>
        <v>0</v>
      </c>
    </row>
    <row r="352" spans="2:22" outlineLevel="1">
      <c r="B352" s="1316" t="s">
        <v>1748</v>
      </c>
      <c r="C352" s="1278" t="s">
        <v>969</v>
      </c>
      <c r="D352" s="1286" t="s">
        <v>970</v>
      </c>
      <c r="E352" s="1317" t="s">
        <v>776</v>
      </c>
      <c r="F352" s="1281">
        <v>6124.8399999999992</v>
      </c>
      <c r="G352" s="1338"/>
      <c r="H352" s="1282">
        <f t="shared" si="63"/>
        <v>0</v>
      </c>
      <c r="I352" s="1338"/>
      <c r="J352" s="1282">
        <f t="shared" si="64"/>
        <v>0</v>
      </c>
      <c r="K352" s="1338"/>
      <c r="L352" s="1282">
        <f t="shared" si="65"/>
        <v>0</v>
      </c>
      <c r="M352" s="1338"/>
      <c r="N352" s="1282">
        <f t="shared" si="66"/>
        <v>0</v>
      </c>
      <c r="O352" s="1338"/>
      <c r="P352" s="1282">
        <f t="shared" si="67"/>
        <v>0</v>
      </c>
      <c r="Q352" s="1338"/>
      <c r="R352" s="1282">
        <f t="shared" si="68"/>
        <v>0</v>
      </c>
      <c r="S352" s="1338"/>
      <c r="T352" s="1283">
        <f t="shared" si="69"/>
        <v>0</v>
      </c>
      <c r="U352" s="1284">
        <f t="shared" si="61"/>
        <v>0</v>
      </c>
      <c r="V352" s="1285">
        <f t="shared" si="62"/>
        <v>0</v>
      </c>
    </row>
    <row r="353" spans="2:22" outlineLevel="1">
      <c r="B353" s="1316" t="s">
        <v>1749</v>
      </c>
      <c r="C353" s="1278" t="s">
        <v>969</v>
      </c>
      <c r="D353" s="1286" t="s">
        <v>970</v>
      </c>
      <c r="E353" s="1317" t="s">
        <v>824</v>
      </c>
      <c r="F353" s="1281">
        <v>7091.9199999999992</v>
      </c>
      <c r="G353" s="1338"/>
      <c r="H353" s="1282">
        <f t="shared" si="63"/>
        <v>0</v>
      </c>
      <c r="I353" s="1338"/>
      <c r="J353" s="1282">
        <f t="shared" si="64"/>
        <v>0</v>
      </c>
      <c r="K353" s="1338"/>
      <c r="L353" s="1282">
        <f t="shared" si="65"/>
        <v>0</v>
      </c>
      <c r="M353" s="1338"/>
      <c r="N353" s="1282">
        <f t="shared" si="66"/>
        <v>0</v>
      </c>
      <c r="O353" s="1338"/>
      <c r="P353" s="1282">
        <f t="shared" si="67"/>
        <v>0</v>
      </c>
      <c r="Q353" s="1338"/>
      <c r="R353" s="1282">
        <f t="shared" si="68"/>
        <v>0</v>
      </c>
      <c r="S353" s="1338"/>
      <c r="T353" s="1283">
        <f t="shared" si="69"/>
        <v>0</v>
      </c>
      <c r="U353" s="1284">
        <f t="shared" si="61"/>
        <v>0</v>
      </c>
      <c r="V353" s="1285">
        <f t="shared" si="62"/>
        <v>0</v>
      </c>
    </row>
    <row r="354" spans="2:22" outlineLevel="1">
      <c r="B354" s="1316" t="s">
        <v>1750</v>
      </c>
      <c r="C354" s="1278" t="s">
        <v>969</v>
      </c>
      <c r="D354" s="1286" t="s">
        <v>970</v>
      </c>
      <c r="E354" s="1317" t="s">
        <v>779</v>
      </c>
      <c r="F354" s="1281">
        <v>8381.3599999999988</v>
      </c>
      <c r="G354" s="1338"/>
      <c r="H354" s="1282">
        <f t="shared" si="63"/>
        <v>0</v>
      </c>
      <c r="I354" s="1338"/>
      <c r="J354" s="1282">
        <f t="shared" si="64"/>
        <v>0</v>
      </c>
      <c r="K354" s="1338"/>
      <c r="L354" s="1282">
        <f t="shared" si="65"/>
        <v>0</v>
      </c>
      <c r="M354" s="1338"/>
      <c r="N354" s="1282">
        <f t="shared" si="66"/>
        <v>0</v>
      </c>
      <c r="O354" s="1338"/>
      <c r="P354" s="1282">
        <f t="shared" si="67"/>
        <v>0</v>
      </c>
      <c r="Q354" s="1338"/>
      <c r="R354" s="1282">
        <f t="shared" si="68"/>
        <v>0</v>
      </c>
      <c r="S354" s="1338"/>
      <c r="T354" s="1283">
        <f t="shared" si="69"/>
        <v>0</v>
      </c>
      <c r="U354" s="1284">
        <f t="shared" si="61"/>
        <v>0</v>
      </c>
      <c r="V354" s="1285">
        <f t="shared" si="62"/>
        <v>0</v>
      </c>
    </row>
    <row r="355" spans="2:22" outlineLevel="1">
      <c r="B355" s="1316" t="s">
        <v>1751</v>
      </c>
      <c r="C355" s="1278" t="s">
        <v>969</v>
      </c>
      <c r="D355" s="1286" t="s">
        <v>970</v>
      </c>
      <c r="E355" s="1317" t="s">
        <v>780</v>
      </c>
      <c r="F355" s="1281">
        <v>9670.7999999999993</v>
      </c>
      <c r="G355" s="1338"/>
      <c r="H355" s="1282">
        <f t="shared" si="63"/>
        <v>0</v>
      </c>
      <c r="I355" s="1338"/>
      <c r="J355" s="1282">
        <f t="shared" si="64"/>
        <v>0</v>
      </c>
      <c r="K355" s="1338"/>
      <c r="L355" s="1282">
        <f t="shared" si="65"/>
        <v>0</v>
      </c>
      <c r="M355" s="1338"/>
      <c r="N355" s="1282">
        <f t="shared" si="66"/>
        <v>0</v>
      </c>
      <c r="O355" s="1338"/>
      <c r="P355" s="1282">
        <f t="shared" si="67"/>
        <v>0</v>
      </c>
      <c r="Q355" s="1338"/>
      <c r="R355" s="1282">
        <f t="shared" si="68"/>
        <v>0</v>
      </c>
      <c r="S355" s="1338"/>
      <c r="T355" s="1283">
        <f t="shared" si="69"/>
        <v>0</v>
      </c>
      <c r="U355" s="1284">
        <f t="shared" si="61"/>
        <v>0</v>
      </c>
      <c r="V355" s="1285">
        <f t="shared" si="62"/>
        <v>0</v>
      </c>
    </row>
    <row r="356" spans="2:22" outlineLevel="1">
      <c r="B356" s="1316" t="s">
        <v>1752</v>
      </c>
      <c r="C356" s="1278" t="s">
        <v>969</v>
      </c>
      <c r="D356" s="1286" t="s">
        <v>970</v>
      </c>
      <c r="E356" s="1317" t="s">
        <v>781</v>
      </c>
      <c r="F356" s="1281">
        <v>10960.24</v>
      </c>
      <c r="G356" s="1338"/>
      <c r="H356" s="1282">
        <f t="shared" si="63"/>
        <v>0</v>
      </c>
      <c r="I356" s="1338"/>
      <c r="J356" s="1282">
        <f t="shared" si="64"/>
        <v>0</v>
      </c>
      <c r="K356" s="1338"/>
      <c r="L356" s="1282">
        <f t="shared" si="65"/>
        <v>0</v>
      </c>
      <c r="M356" s="1338"/>
      <c r="N356" s="1282">
        <f t="shared" si="66"/>
        <v>0</v>
      </c>
      <c r="O356" s="1338"/>
      <c r="P356" s="1282">
        <f t="shared" si="67"/>
        <v>0</v>
      </c>
      <c r="Q356" s="1338"/>
      <c r="R356" s="1282">
        <f t="shared" si="68"/>
        <v>0</v>
      </c>
      <c r="S356" s="1338"/>
      <c r="T356" s="1283">
        <f t="shared" si="69"/>
        <v>0</v>
      </c>
      <c r="U356" s="1284">
        <f t="shared" si="61"/>
        <v>0</v>
      </c>
      <c r="V356" s="1285">
        <f t="shared" si="62"/>
        <v>0</v>
      </c>
    </row>
    <row r="357" spans="2:22" outlineLevel="1">
      <c r="B357" s="1316" t="s">
        <v>1753</v>
      </c>
      <c r="C357" s="1278" t="s">
        <v>969</v>
      </c>
      <c r="D357" s="1286" t="s">
        <v>970</v>
      </c>
      <c r="E357" s="1317" t="s">
        <v>782</v>
      </c>
      <c r="F357" s="1281">
        <v>12249.679999999998</v>
      </c>
      <c r="G357" s="1338"/>
      <c r="H357" s="1282">
        <f t="shared" si="63"/>
        <v>0</v>
      </c>
      <c r="I357" s="1338"/>
      <c r="J357" s="1282">
        <f t="shared" si="64"/>
        <v>0</v>
      </c>
      <c r="K357" s="1338"/>
      <c r="L357" s="1282">
        <f t="shared" si="65"/>
        <v>0</v>
      </c>
      <c r="M357" s="1338"/>
      <c r="N357" s="1282">
        <f t="shared" si="66"/>
        <v>0</v>
      </c>
      <c r="O357" s="1338"/>
      <c r="P357" s="1282">
        <f t="shared" si="67"/>
        <v>0</v>
      </c>
      <c r="Q357" s="1338"/>
      <c r="R357" s="1282">
        <f t="shared" si="68"/>
        <v>0</v>
      </c>
      <c r="S357" s="1338"/>
      <c r="T357" s="1283">
        <f t="shared" si="69"/>
        <v>0</v>
      </c>
      <c r="U357" s="1284">
        <f t="shared" ref="U357:U420" si="70">G357+I357+K357+M357+O357+Q357+S357</f>
        <v>0</v>
      </c>
      <c r="V357" s="1285">
        <f t="shared" ref="V357:V420" si="71">U357*F357</f>
        <v>0</v>
      </c>
    </row>
    <row r="358" spans="2:22" outlineLevel="1">
      <c r="B358" s="1316" t="s">
        <v>1754</v>
      </c>
      <c r="C358" s="1278" t="s">
        <v>969</v>
      </c>
      <c r="D358" s="1286" t="s">
        <v>970</v>
      </c>
      <c r="E358" s="1317" t="s">
        <v>872</v>
      </c>
      <c r="F358" s="1281">
        <v>14183.839999999998</v>
      </c>
      <c r="G358" s="1338"/>
      <c r="H358" s="1282">
        <f t="shared" si="63"/>
        <v>0</v>
      </c>
      <c r="I358" s="1338"/>
      <c r="J358" s="1282">
        <f t="shared" si="64"/>
        <v>0</v>
      </c>
      <c r="K358" s="1338"/>
      <c r="L358" s="1282">
        <f t="shared" si="65"/>
        <v>0</v>
      </c>
      <c r="M358" s="1338"/>
      <c r="N358" s="1282">
        <f t="shared" si="66"/>
        <v>0</v>
      </c>
      <c r="O358" s="1338"/>
      <c r="P358" s="1282">
        <f t="shared" si="67"/>
        <v>0</v>
      </c>
      <c r="Q358" s="1338"/>
      <c r="R358" s="1282">
        <f t="shared" si="68"/>
        <v>0</v>
      </c>
      <c r="S358" s="1338"/>
      <c r="T358" s="1283">
        <f t="shared" si="69"/>
        <v>0</v>
      </c>
      <c r="U358" s="1284">
        <f t="shared" si="70"/>
        <v>0</v>
      </c>
      <c r="V358" s="1285">
        <f t="shared" si="71"/>
        <v>0</v>
      </c>
    </row>
    <row r="359" spans="2:22" outlineLevel="1">
      <c r="B359" s="1316" t="s">
        <v>1755</v>
      </c>
      <c r="C359" s="1278" t="s">
        <v>969</v>
      </c>
      <c r="D359" s="1286" t="s">
        <v>970</v>
      </c>
      <c r="E359" s="1317" t="s">
        <v>873</v>
      </c>
      <c r="F359" s="1281">
        <v>16762.719999999998</v>
      </c>
      <c r="G359" s="1338"/>
      <c r="H359" s="1282">
        <f t="shared" si="63"/>
        <v>0</v>
      </c>
      <c r="I359" s="1338"/>
      <c r="J359" s="1282">
        <f t="shared" si="64"/>
        <v>0</v>
      </c>
      <c r="K359" s="1338"/>
      <c r="L359" s="1282">
        <f t="shared" si="65"/>
        <v>0</v>
      </c>
      <c r="M359" s="1338"/>
      <c r="N359" s="1282">
        <f t="shared" si="66"/>
        <v>0</v>
      </c>
      <c r="O359" s="1338"/>
      <c r="P359" s="1282">
        <f t="shared" si="67"/>
        <v>0</v>
      </c>
      <c r="Q359" s="1338"/>
      <c r="R359" s="1282">
        <f t="shared" si="68"/>
        <v>0</v>
      </c>
      <c r="S359" s="1338"/>
      <c r="T359" s="1283">
        <f t="shared" si="69"/>
        <v>0</v>
      </c>
      <c r="U359" s="1284">
        <f t="shared" si="70"/>
        <v>0</v>
      </c>
      <c r="V359" s="1285">
        <f t="shared" si="71"/>
        <v>0</v>
      </c>
    </row>
    <row r="360" spans="2:22" outlineLevel="1">
      <c r="B360" s="1316" t="s">
        <v>1756</v>
      </c>
      <c r="C360" s="1278" t="s">
        <v>969</v>
      </c>
      <c r="D360" s="1286" t="s">
        <v>970</v>
      </c>
      <c r="E360" s="1317" t="s">
        <v>976</v>
      </c>
      <c r="F360" s="1281">
        <v>19341.599999999999</v>
      </c>
      <c r="G360" s="1338"/>
      <c r="H360" s="1282">
        <f t="shared" si="63"/>
        <v>0</v>
      </c>
      <c r="I360" s="1338"/>
      <c r="J360" s="1282">
        <f t="shared" si="64"/>
        <v>0</v>
      </c>
      <c r="K360" s="1338"/>
      <c r="L360" s="1282">
        <f t="shared" si="65"/>
        <v>0</v>
      </c>
      <c r="M360" s="1338"/>
      <c r="N360" s="1282">
        <f t="shared" si="66"/>
        <v>0</v>
      </c>
      <c r="O360" s="1338"/>
      <c r="P360" s="1282">
        <f t="shared" si="67"/>
        <v>0</v>
      </c>
      <c r="Q360" s="1338"/>
      <c r="R360" s="1282">
        <f t="shared" si="68"/>
        <v>0</v>
      </c>
      <c r="S360" s="1338"/>
      <c r="T360" s="1283">
        <f t="shared" si="69"/>
        <v>0</v>
      </c>
      <c r="U360" s="1284">
        <f t="shared" si="70"/>
        <v>0</v>
      </c>
      <c r="V360" s="1285">
        <f t="shared" si="71"/>
        <v>0</v>
      </c>
    </row>
    <row r="361" spans="2:22" outlineLevel="1">
      <c r="B361" s="1316" t="s">
        <v>1757</v>
      </c>
      <c r="C361" s="1278" t="s">
        <v>969</v>
      </c>
      <c r="D361" s="1286" t="s">
        <v>970</v>
      </c>
      <c r="E361" s="1317" t="s">
        <v>923</v>
      </c>
      <c r="F361" s="1281">
        <v>23209.919999999998</v>
      </c>
      <c r="G361" s="1338"/>
      <c r="H361" s="1282">
        <f t="shared" si="63"/>
        <v>0</v>
      </c>
      <c r="I361" s="1338"/>
      <c r="J361" s="1282">
        <f t="shared" si="64"/>
        <v>0</v>
      </c>
      <c r="K361" s="1338"/>
      <c r="L361" s="1282">
        <f t="shared" si="65"/>
        <v>0</v>
      </c>
      <c r="M361" s="1338"/>
      <c r="N361" s="1282">
        <f t="shared" si="66"/>
        <v>0</v>
      </c>
      <c r="O361" s="1338"/>
      <c r="P361" s="1282">
        <f t="shared" si="67"/>
        <v>0</v>
      </c>
      <c r="Q361" s="1338"/>
      <c r="R361" s="1282">
        <f t="shared" si="68"/>
        <v>0</v>
      </c>
      <c r="S361" s="1338"/>
      <c r="T361" s="1283">
        <f t="shared" si="69"/>
        <v>0</v>
      </c>
      <c r="U361" s="1284">
        <f t="shared" si="70"/>
        <v>0</v>
      </c>
      <c r="V361" s="1285">
        <f t="shared" si="71"/>
        <v>0</v>
      </c>
    </row>
    <row r="362" spans="2:22" outlineLevel="1">
      <c r="B362" s="1316" t="s">
        <v>1758</v>
      </c>
      <c r="C362" s="1278" t="s">
        <v>969</v>
      </c>
      <c r="D362" s="1286" t="s">
        <v>970</v>
      </c>
      <c r="E362" s="1317" t="s">
        <v>924</v>
      </c>
      <c r="F362" s="1281">
        <v>28367.679999999997</v>
      </c>
      <c r="G362" s="1338"/>
      <c r="H362" s="1282">
        <f t="shared" si="63"/>
        <v>0</v>
      </c>
      <c r="I362" s="1338"/>
      <c r="J362" s="1282">
        <f t="shared" si="64"/>
        <v>0</v>
      </c>
      <c r="K362" s="1338"/>
      <c r="L362" s="1282">
        <f t="shared" si="65"/>
        <v>0</v>
      </c>
      <c r="M362" s="1338"/>
      <c r="N362" s="1282">
        <f t="shared" si="66"/>
        <v>0</v>
      </c>
      <c r="O362" s="1338"/>
      <c r="P362" s="1282">
        <f t="shared" si="67"/>
        <v>0</v>
      </c>
      <c r="Q362" s="1338"/>
      <c r="R362" s="1282">
        <f t="shared" si="68"/>
        <v>0</v>
      </c>
      <c r="S362" s="1338"/>
      <c r="T362" s="1283">
        <f t="shared" si="69"/>
        <v>0</v>
      </c>
      <c r="U362" s="1284">
        <f t="shared" si="70"/>
        <v>0</v>
      </c>
      <c r="V362" s="1285">
        <f t="shared" si="71"/>
        <v>0</v>
      </c>
    </row>
    <row r="363" spans="2:22" outlineLevel="1">
      <c r="B363" s="1316" t="s">
        <v>1759</v>
      </c>
      <c r="C363" s="1278" t="s">
        <v>969</v>
      </c>
      <c r="D363" s="1286" t="s">
        <v>970</v>
      </c>
      <c r="E363" s="1317" t="s">
        <v>925</v>
      </c>
      <c r="F363" s="1281">
        <v>33525.439999999995</v>
      </c>
      <c r="G363" s="1338"/>
      <c r="H363" s="1282">
        <f t="shared" si="63"/>
        <v>0</v>
      </c>
      <c r="I363" s="1338"/>
      <c r="J363" s="1282">
        <f t="shared" si="64"/>
        <v>0</v>
      </c>
      <c r="K363" s="1338"/>
      <c r="L363" s="1282">
        <f t="shared" si="65"/>
        <v>0</v>
      </c>
      <c r="M363" s="1338"/>
      <c r="N363" s="1282">
        <f t="shared" si="66"/>
        <v>0</v>
      </c>
      <c r="O363" s="1338"/>
      <c r="P363" s="1282">
        <f t="shared" si="67"/>
        <v>0</v>
      </c>
      <c r="Q363" s="1338"/>
      <c r="R363" s="1282">
        <f t="shared" si="68"/>
        <v>0</v>
      </c>
      <c r="S363" s="1338"/>
      <c r="T363" s="1283">
        <f t="shared" si="69"/>
        <v>0</v>
      </c>
      <c r="U363" s="1284">
        <f t="shared" si="70"/>
        <v>0</v>
      </c>
      <c r="V363" s="1285">
        <f t="shared" si="71"/>
        <v>0</v>
      </c>
    </row>
    <row r="364" spans="2:22" outlineLevel="1">
      <c r="B364" s="1316" t="s">
        <v>1760</v>
      </c>
      <c r="C364" s="1278" t="s">
        <v>969</v>
      </c>
      <c r="D364" s="1286" t="s">
        <v>970</v>
      </c>
      <c r="E364" s="1317" t="s">
        <v>926</v>
      </c>
      <c r="F364" s="1281">
        <v>38683.199999999997</v>
      </c>
      <c r="G364" s="1338"/>
      <c r="H364" s="1282">
        <f t="shared" si="63"/>
        <v>0</v>
      </c>
      <c r="I364" s="1338"/>
      <c r="J364" s="1282">
        <f t="shared" si="64"/>
        <v>0</v>
      </c>
      <c r="K364" s="1338"/>
      <c r="L364" s="1282">
        <f t="shared" si="65"/>
        <v>0</v>
      </c>
      <c r="M364" s="1338"/>
      <c r="N364" s="1282">
        <f t="shared" si="66"/>
        <v>0</v>
      </c>
      <c r="O364" s="1338"/>
      <c r="P364" s="1282">
        <f t="shared" si="67"/>
        <v>0</v>
      </c>
      <c r="Q364" s="1338"/>
      <c r="R364" s="1282">
        <f t="shared" si="68"/>
        <v>0</v>
      </c>
      <c r="S364" s="1338"/>
      <c r="T364" s="1283">
        <f t="shared" si="69"/>
        <v>0</v>
      </c>
      <c r="U364" s="1284">
        <f t="shared" si="70"/>
        <v>0</v>
      </c>
      <c r="V364" s="1285">
        <f t="shared" si="71"/>
        <v>0</v>
      </c>
    </row>
    <row r="365" spans="2:22" outlineLevel="1">
      <c r="B365" s="1316" t="s">
        <v>1761</v>
      </c>
      <c r="C365" s="1278" t="s">
        <v>969</v>
      </c>
      <c r="D365" s="1286" t="s">
        <v>970</v>
      </c>
      <c r="E365" s="1317" t="s">
        <v>977</v>
      </c>
      <c r="F365" s="1281">
        <v>46419.839999999997</v>
      </c>
      <c r="G365" s="1338"/>
      <c r="H365" s="1282">
        <f t="shared" si="63"/>
        <v>0</v>
      </c>
      <c r="I365" s="1338"/>
      <c r="J365" s="1282">
        <f t="shared" si="64"/>
        <v>0</v>
      </c>
      <c r="K365" s="1338"/>
      <c r="L365" s="1282">
        <f t="shared" si="65"/>
        <v>0</v>
      </c>
      <c r="M365" s="1338"/>
      <c r="N365" s="1282">
        <f t="shared" si="66"/>
        <v>0</v>
      </c>
      <c r="O365" s="1338"/>
      <c r="P365" s="1282">
        <f t="shared" si="67"/>
        <v>0</v>
      </c>
      <c r="Q365" s="1338"/>
      <c r="R365" s="1282">
        <f t="shared" si="68"/>
        <v>0</v>
      </c>
      <c r="S365" s="1338"/>
      <c r="T365" s="1283">
        <f t="shared" si="69"/>
        <v>0</v>
      </c>
      <c r="U365" s="1284">
        <f t="shared" si="70"/>
        <v>0</v>
      </c>
      <c r="V365" s="1285">
        <f t="shared" si="71"/>
        <v>0</v>
      </c>
    </row>
    <row r="366" spans="2:22" outlineLevel="1">
      <c r="B366" s="1316" t="s">
        <v>1762</v>
      </c>
      <c r="C366" s="1278" t="s">
        <v>969</v>
      </c>
      <c r="D366" s="1286" t="s">
        <v>970</v>
      </c>
      <c r="E366" s="1317" t="s">
        <v>978</v>
      </c>
      <c r="F366" s="1281">
        <v>56735.359999999993</v>
      </c>
      <c r="G366" s="1338"/>
      <c r="H366" s="1282">
        <f t="shared" si="63"/>
        <v>0</v>
      </c>
      <c r="I366" s="1338"/>
      <c r="J366" s="1282">
        <f t="shared" si="64"/>
        <v>0</v>
      </c>
      <c r="K366" s="1338"/>
      <c r="L366" s="1282">
        <f t="shared" si="65"/>
        <v>0</v>
      </c>
      <c r="M366" s="1338"/>
      <c r="N366" s="1282">
        <f t="shared" si="66"/>
        <v>0</v>
      </c>
      <c r="O366" s="1338"/>
      <c r="P366" s="1282">
        <f t="shared" si="67"/>
        <v>0</v>
      </c>
      <c r="Q366" s="1338"/>
      <c r="R366" s="1282">
        <f t="shared" si="68"/>
        <v>0</v>
      </c>
      <c r="S366" s="1338"/>
      <c r="T366" s="1283">
        <f t="shared" si="69"/>
        <v>0</v>
      </c>
      <c r="U366" s="1284">
        <f t="shared" si="70"/>
        <v>0</v>
      </c>
      <c r="V366" s="1285">
        <f t="shared" si="71"/>
        <v>0</v>
      </c>
    </row>
    <row r="367" spans="2:22" outlineLevel="1">
      <c r="B367" s="1316" t="s">
        <v>1763</v>
      </c>
      <c r="C367" s="1278" t="s">
        <v>969</v>
      </c>
      <c r="D367" s="1286" t="s">
        <v>970</v>
      </c>
      <c r="E367" s="1317" t="s">
        <v>979</v>
      </c>
      <c r="F367" s="1281">
        <v>67050.87999999999</v>
      </c>
      <c r="G367" s="1338"/>
      <c r="H367" s="1282">
        <f t="shared" si="63"/>
        <v>0</v>
      </c>
      <c r="I367" s="1338"/>
      <c r="J367" s="1282">
        <f t="shared" si="64"/>
        <v>0</v>
      </c>
      <c r="K367" s="1338"/>
      <c r="L367" s="1282">
        <f t="shared" si="65"/>
        <v>0</v>
      </c>
      <c r="M367" s="1338"/>
      <c r="N367" s="1282">
        <f t="shared" si="66"/>
        <v>0</v>
      </c>
      <c r="O367" s="1338"/>
      <c r="P367" s="1282">
        <f t="shared" si="67"/>
        <v>0</v>
      </c>
      <c r="Q367" s="1338"/>
      <c r="R367" s="1282">
        <f t="shared" si="68"/>
        <v>0</v>
      </c>
      <c r="S367" s="1338"/>
      <c r="T367" s="1283">
        <f t="shared" si="69"/>
        <v>0</v>
      </c>
      <c r="U367" s="1284">
        <f t="shared" si="70"/>
        <v>0</v>
      </c>
      <c r="V367" s="1285">
        <f t="shared" si="71"/>
        <v>0</v>
      </c>
    </row>
    <row r="368" spans="2:22" outlineLevel="1">
      <c r="B368" s="1316" t="s">
        <v>1764</v>
      </c>
      <c r="C368" s="1278" t="s">
        <v>969</v>
      </c>
      <c r="D368" s="1286" t="s">
        <v>970</v>
      </c>
      <c r="E368" s="1317" t="s">
        <v>980</v>
      </c>
      <c r="F368" s="1281">
        <v>77366.399999999994</v>
      </c>
      <c r="G368" s="1338"/>
      <c r="H368" s="1282">
        <f t="shared" si="63"/>
        <v>0</v>
      </c>
      <c r="I368" s="1338"/>
      <c r="J368" s="1282">
        <f t="shared" si="64"/>
        <v>0</v>
      </c>
      <c r="K368" s="1338"/>
      <c r="L368" s="1282">
        <f t="shared" si="65"/>
        <v>0</v>
      </c>
      <c r="M368" s="1338"/>
      <c r="N368" s="1282">
        <f t="shared" si="66"/>
        <v>0</v>
      </c>
      <c r="O368" s="1338"/>
      <c r="P368" s="1282">
        <f t="shared" si="67"/>
        <v>0</v>
      </c>
      <c r="Q368" s="1338"/>
      <c r="R368" s="1282">
        <f t="shared" si="68"/>
        <v>0</v>
      </c>
      <c r="S368" s="1338"/>
      <c r="T368" s="1283">
        <f t="shared" si="69"/>
        <v>0</v>
      </c>
      <c r="U368" s="1284">
        <f t="shared" si="70"/>
        <v>0</v>
      </c>
      <c r="V368" s="1285">
        <f t="shared" si="71"/>
        <v>0</v>
      </c>
    </row>
    <row r="369" spans="2:22" outlineLevel="1">
      <c r="B369" s="1316" t="s">
        <v>1765</v>
      </c>
      <c r="C369" s="1318" t="s">
        <v>969</v>
      </c>
      <c r="D369" s="1286" t="s">
        <v>970</v>
      </c>
      <c r="E369" s="1319" t="s">
        <v>981</v>
      </c>
      <c r="F369" s="1281">
        <v>87681.919999999998</v>
      </c>
      <c r="G369" s="1338"/>
      <c r="H369" s="1282">
        <f t="shared" si="63"/>
        <v>0</v>
      </c>
      <c r="I369" s="1338"/>
      <c r="J369" s="1282">
        <f t="shared" si="64"/>
        <v>0</v>
      </c>
      <c r="K369" s="1338"/>
      <c r="L369" s="1282">
        <f t="shared" si="65"/>
        <v>0</v>
      </c>
      <c r="M369" s="1338"/>
      <c r="N369" s="1282">
        <f t="shared" si="66"/>
        <v>0</v>
      </c>
      <c r="O369" s="1338"/>
      <c r="P369" s="1282">
        <f t="shared" si="67"/>
        <v>0</v>
      </c>
      <c r="Q369" s="1338"/>
      <c r="R369" s="1282">
        <f t="shared" si="68"/>
        <v>0</v>
      </c>
      <c r="S369" s="1338"/>
      <c r="T369" s="1283">
        <f t="shared" si="69"/>
        <v>0</v>
      </c>
      <c r="U369" s="1284">
        <f t="shared" si="70"/>
        <v>0</v>
      </c>
      <c r="V369" s="1285">
        <f t="shared" si="71"/>
        <v>0</v>
      </c>
    </row>
    <row r="370" spans="2:22" ht="12.75" customHeight="1">
      <c r="B370" s="1270" t="s">
        <v>2016</v>
      </c>
      <c r="C370" s="1271" t="s">
        <v>982</v>
      </c>
      <c r="D370" s="1272"/>
      <c r="E370" s="1272"/>
      <c r="F370" s="1302"/>
      <c r="G370" s="1339"/>
      <c r="H370" s="1296"/>
      <c r="I370" s="1339"/>
      <c r="J370" s="1296"/>
      <c r="K370" s="1339"/>
      <c r="L370" s="1296"/>
      <c r="M370" s="1339"/>
      <c r="N370" s="1296"/>
      <c r="O370" s="1339"/>
      <c r="P370" s="1296"/>
      <c r="Q370" s="1339"/>
      <c r="R370" s="1296"/>
      <c r="S370" s="1339"/>
      <c r="T370" s="1296"/>
      <c r="U370" s="1297"/>
      <c r="V370" s="1298"/>
    </row>
    <row r="371" spans="2:22" outlineLevel="1">
      <c r="B371" s="1278" t="s">
        <v>1766</v>
      </c>
      <c r="C371" s="1279" t="s">
        <v>982</v>
      </c>
      <c r="D371" s="1280" t="s">
        <v>983</v>
      </c>
      <c r="E371" s="1320" t="s">
        <v>984</v>
      </c>
      <c r="F371" s="1281">
        <v>704.33</v>
      </c>
      <c r="G371" s="1338"/>
      <c r="H371" s="1282">
        <f t="shared" si="63"/>
        <v>0</v>
      </c>
      <c r="I371" s="1338"/>
      <c r="J371" s="1282">
        <f t="shared" si="64"/>
        <v>0</v>
      </c>
      <c r="K371" s="1338"/>
      <c r="L371" s="1282">
        <f t="shared" si="65"/>
        <v>0</v>
      </c>
      <c r="M371" s="1338"/>
      <c r="N371" s="1282">
        <f t="shared" si="66"/>
        <v>0</v>
      </c>
      <c r="O371" s="1338"/>
      <c r="P371" s="1282">
        <f t="shared" si="67"/>
        <v>0</v>
      </c>
      <c r="Q371" s="1338"/>
      <c r="R371" s="1282">
        <f t="shared" si="68"/>
        <v>0</v>
      </c>
      <c r="S371" s="1338"/>
      <c r="T371" s="1283">
        <f t="shared" si="69"/>
        <v>0</v>
      </c>
      <c r="U371" s="1284">
        <f t="shared" si="70"/>
        <v>0</v>
      </c>
      <c r="V371" s="1285">
        <f t="shared" si="71"/>
        <v>0</v>
      </c>
    </row>
    <row r="372" spans="2:22" outlineLevel="1">
      <c r="B372" s="1278" t="s">
        <v>1767</v>
      </c>
      <c r="C372" s="1279" t="s">
        <v>982</v>
      </c>
      <c r="D372" s="1280" t="s">
        <v>983</v>
      </c>
      <c r="E372" s="1321" t="s">
        <v>815</v>
      </c>
      <c r="F372" s="1281">
        <v>1173.8800000000001</v>
      </c>
      <c r="G372" s="1338"/>
      <c r="H372" s="1282">
        <f t="shared" si="63"/>
        <v>0</v>
      </c>
      <c r="I372" s="1338"/>
      <c r="J372" s="1282">
        <f t="shared" si="64"/>
        <v>0</v>
      </c>
      <c r="K372" s="1338"/>
      <c r="L372" s="1282">
        <f t="shared" si="65"/>
        <v>0</v>
      </c>
      <c r="M372" s="1338"/>
      <c r="N372" s="1282">
        <f t="shared" si="66"/>
        <v>0</v>
      </c>
      <c r="O372" s="1338"/>
      <c r="P372" s="1282">
        <f t="shared" si="67"/>
        <v>0</v>
      </c>
      <c r="Q372" s="1338"/>
      <c r="R372" s="1282">
        <f t="shared" si="68"/>
        <v>0</v>
      </c>
      <c r="S372" s="1338"/>
      <c r="T372" s="1283">
        <f t="shared" si="69"/>
        <v>0</v>
      </c>
      <c r="U372" s="1284">
        <f t="shared" si="70"/>
        <v>0</v>
      </c>
      <c r="V372" s="1285">
        <f t="shared" si="71"/>
        <v>0</v>
      </c>
    </row>
    <row r="373" spans="2:22" outlineLevel="1">
      <c r="B373" s="1278" t="s">
        <v>1768</v>
      </c>
      <c r="C373" s="1279" t="s">
        <v>982</v>
      </c>
      <c r="D373" s="1280" t="s">
        <v>983</v>
      </c>
      <c r="E373" s="1321" t="s">
        <v>816</v>
      </c>
      <c r="F373" s="1281">
        <v>1643.43</v>
      </c>
      <c r="G373" s="1338"/>
      <c r="H373" s="1282">
        <f t="shared" si="63"/>
        <v>0</v>
      </c>
      <c r="I373" s="1338"/>
      <c r="J373" s="1282">
        <f t="shared" si="64"/>
        <v>0</v>
      </c>
      <c r="K373" s="1338"/>
      <c r="L373" s="1282">
        <f t="shared" si="65"/>
        <v>0</v>
      </c>
      <c r="M373" s="1338"/>
      <c r="N373" s="1282">
        <f t="shared" si="66"/>
        <v>0</v>
      </c>
      <c r="O373" s="1338"/>
      <c r="P373" s="1282">
        <f t="shared" si="67"/>
        <v>0</v>
      </c>
      <c r="Q373" s="1338"/>
      <c r="R373" s="1282">
        <f t="shared" si="68"/>
        <v>0</v>
      </c>
      <c r="S373" s="1338"/>
      <c r="T373" s="1283">
        <f t="shared" si="69"/>
        <v>0</v>
      </c>
      <c r="U373" s="1284">
        <f t="shared" si="70"/>
        <v>0</v>
      </c>
      <c r="V373" s="1285">
        <f t="shared" si="71"/>
        <v>0</v>
      </c>
    </row>
    <row r="374" spans="2:22" outlineLevel="1">
      <c r="B374" s="1278" t="s">
        <v>1769</v>
      </c>
      <c r="C374" s="1279" t="s">
        <v>982</v>
      </c>
      <c r="D374" s="1280" t="s">
        <v>983</v>
      </c>
      <c r="E374" s="1321" t="s">
        <v>973</v>
      </c>
      <c r="F374" s="1281">
        <v>2347.75</v>
      </c>
      <c r="G374" s="1338"/>
      <c r="H374" s="1282">
        <f t="shared" si="63"/>
        <v>0</v>
      </c>
      <c r="I374" s="1338"/>
      <c r="J374" s="1282">
        <f t="shared" si="64"/>
        <v>0</v>
      </c>
      <c r="K374" s="1338"/>
      <c r="L374" s="1282">
        <f t="shared" si="65"/>
        <v>0</v>
      </c>
      <c r="M374" s="1338"/>
      <c r="N374" s="1282">
        <f t="shared" si="66"/>
        <v>0</v>
      </c>
      <c r="O374" s="1338"/>
      <c r="P374" s="1282">
        <f t="shared" si="67"/>
        <v>0</v>
      </c>
      <c r="Q374" s="1338"/>
      <c r="R374" s="1282">
        <f t="shared" si="68"/>
        <v>0</v>
      </c>
      <c r="S374" s="1338"/>
      <c r="T374" s="1283">
        <f t="shared" si="69"/>
        <v>0</v>
      </c>
      <c r="U374" s="1284">
        <f t="shared" si="70"/>
        <v>0</v>
      </c>
      <c r="V374" s="1285">
        <f t="shared" si="71"/>
        <v>0</v>
      </c>
    </row>
    <row r="375" spans="2:22" outlineLevel="1">
      <c r="B375" s="1278" t="s">
        <v>1770</v>
      </c>
      <c r="C375" s="1279" t="s">
        <v>982</v>
      </c>
      <c r="D375" s="1280" t="s">
        <v>983</v>
      </c>
      <c r="E375" s="1321" t="s">
        <v>974</v>
      </c>
      <c r="F375" s="1281">
        <v>3286.85</v>
      </c>
      <c r="G375" s="1338"/>
      <c r="H375" s="1282">
        <f t="shared" si="63"/>
        <v>0</v>
      </c>
      <c r="I375" s="1338"/>
      <c r="J375" s="1282">
        <f t="shared" si="64"/>
        <v>0</v>
      </c>
      <c r="K375" s="1338"/>
      <c r="L375" s="1282">
        <f t="shared" si="65"/>
        <v>0</v>
      </c>
      <c r="M375" s="1338"/>
      <c r="N375" s="1282">
        <f t="shared" si="66"/>
        <v>0</v>
      </c>
      <c r="O375" s="1338"/>
      <c r="P375" s="1282">
        <f t="shared" si="67"/>
        <v>0</v>
      </c>
      <c r="Q375" s="1338"/>
      <c r="R375" s="1282">
        <f t="shared" si="68"/>
        <v>0</v>
      </c>
      <c r="S375" s="1338"/>
      <c r="T375" s="1283">
        <f t="shared" si="69"/>
        <v>0</v>
      </c>
      <c r="U375" s="1284">
        <f t="shared" si="70"/>
        <v>0</v>
      </c>
      <c r="V375" s="1285">
        <f t="shared" si="71"/>
        <v>0</v>
      </c>
    </row>
    <row r="376" spans="2:22" outlineLevel="1">
      <c r="B376" s="1278" t="s">
        <v>1771</v>
      </c>
      <c r="C376" s="1279" t="s">
        <v>982</v>
      </c>
      <c r="D376" s="1280" t="s">
        <v>983</v>
      </c>
      <c r="E376" s="1321" t="s">
        <v>975</v>
      </c>
      <c r="F376" s="1281">
        <v>4225.95</v>
      </c>
      <c r="G376" s="1338"/>
      <c r="H376" s="1282">
        <f t="shared" si="63"/>
        <v>0</v>
      </c>
      <c r="I376" s="1338"/>
      <c r="J376" s="1282">
        <f t="shared" si="64"/>
        <v>0</v>
      </c>
      <c r="K376" s="1338"/>
      <c r="L376" s="1282">
        <f t="shared" si="65"/>
        <v>0</v>
      </c>
      <c r="M376" s="1338"/>
      <c r="N376" s="1282">
        <f t="shared" si="66"/>
        <v>0</v>
      </c>
      <c r="O376" s="1338"/>
      <c r="P376" s="1282">
        <f t="shared" si="67"/>
        <v>0</v>
      </c>
      <c r="Q376" s="1338"/>
      <c r="R376" s="1282">
        <f t="shared" si="68"/>
        <v>0</v>
      </c>
      <c r="S376" s="1338"/>
      <c r="T376" s="1283">
        <f t="shared" si="69"/>
        <v>0</v>
      </c>
      <c r="U376" s="1284">
        <f t="shared" si="70"/>
        <v>0</v>
      </c>
      <c r="V376" s="1285">
        <f t="shared" si="71"/>
        <v>0</v>
      </c>
    </row>
    <row r="377" spans="2:22" outlineLevel="1">
      <c r="B377" s="1278" t="s">
        <v>1772</v>
      </c>
      <c r="C377" s="1279" t="s">
        <v>982</v>
      </c>
      <c r="D377" s="1280" t="s">
        <v>983</v>
      </c>
      <c r="E377" s="1321" t="s">
        <v>823</v>
      </c>
      <c r="F377" s="1281">
        <v>5165.05</v>
      </c>
      <c r="G377" s="1338"/>
      <c r="H377" s="1282">
        <f t="shared" si="63"/>
        <v>0</v>
      </c>
      <c r="I377" s="1338"/>
      <c r="J377" s="1282">
        <f t="shared" si="64"/>
        <v>0</v>
      </c>
      <c r="K377" s="1338"/>
      <c r="L377" s="1282">
        <f t="shared" si="65"/>
        <v>0</v>
      </c>
      <c r="M377" s="1338"/>
      <c r="N377" s="1282">
        <f t="shared" si="66"/>
        <v>0</v>
      </c>
      <c r="O377" s="1338"/>
      <c r="P377" s="1282">
        <f t="shared" si="67"/>
        <v>0</v>
      </c>
      <c r="Q377" s="1338"/>
      <c r="R377" s="1282">
        <f t="shared" si="68"/>
        <v>0</v>
      </c>
      <c r="S377" s="1338"/>
      <c r="T377" s="1283">
        <f t="shared" si="69"/>
        <v>0</v>
      </c>
      <c r="U377" s="1284">
        <f t="shared" si="70"/>
        <v>0</v>
      </c>
      <c r="V377" s="1285">
        <f t="shared" si="71"/>
        <v>0</v>
      </c>
    </row>
    <row r="378" spans="2:22" outlineLevel="1">
      <c r="B378" s="1278" t="s">
        <v>1773</v>
      </c>
      <c r="C378" s="1279" t="s">
        <v>982</v>
      </c>
      <c r="D378" s="1280" t="s">
        <v>983</v>
      </c>
      <c r="E378" s="1321" t="s">
        <v>773</v>
      </c>
      <c r="F378" s="1281">
        <v>6104.15</v>
      </c>
      <c r="G378" s="1338"/>
      <c r="H378" s="1282">
        <f t="shared" si="63"/>
        <v>0</v>
      </c>
      <c r="I378" s="1338"/>
      <c r="J378" s="1282">
        <f t="shared" si="64"/>
        <v>0</v>
      </c>
      <c r="K378" s="1338"/>
      <c r="L378" s="1282">
        <f t="shared" si="65"/>
        <v>0</v>
      </c>
      <c r="M378" s="1338"/>
      <c r="N378" s="1282">
        <f t="shared" si="66"/>
        <v>0</v>
      </c>
      <c r="O378" s="1338"/>
      <c r="P378" s="1282">
        <f t="shared" si="67"/>
        <v>0</v>
      </c>
      <c r="Q378" s="1338"/>
      <c r="R378" s="1282">
        <f t="shared" si="68"/>
        <v>0</v>
      </c>
      <c r="S378" s="1338"/>
      <c r="T378" s="1283">
        <f t="shared" si="69"/>
        <v>0</v>
      </c>
      <c r="U378" s="1284">
        <f t="shared" si="70"/>
        <v>0</v>
      </c>
      <c r="V378" s="1285">
        <f t="shared" si="71"/>
        <v>0</v>
      </c>
    </row>
    <row r="379" spans="2:22" outlineLevel="1">
      <c r="B379" s="1278" t="s">
        <v>1774</v>
      </c>
      <c r="C379" s="1279" t="s">
        <v>982</v>
      </c>
      <c r="D379" s="1280" t="s">
        <v>983</v>
      </c>
      <c r="E379" s="1321" t="s">
        <v>774</v>
      </c>
      <c r="F379" s="1281">
        <v>7043.25</v>
      </c>
      <c r="G379" s="1338"/>
      <c r="H379" s="1282">
        <f t="shared" si="63"/>
        <v>0</v>
      </c>
      <c r="I379" s="1338"/>
      <c r="J379" s="1282">
        <f t="shared" si="64"/>
        <v>0</v>
      </c>
      <c r="K379" s="1338"/>
      <c r="L379" s="1282">
        <f t="shared" si="65"/>
        <v>0</v>
      </c>
      <c r="M379" s="1338"/>
      <c r="N379" s="1282">
        <f t="shared" si="66"/>
        <v>0</v>
      </c>
      <c r="O379" s="1338"/>
      <c r="P379" s="1282">
        <f t="shared" si="67"/>
        <v>0</v>
      </c>
      <c r="Q379" s="1338"/>
      <c r="R379" s="1282">
        <f t="shared" si="68"/>
        <v>0</v>
      </c>
      <c r="S379" s="1338"/>
      <c r="T379" s="1283">
        <f t="shared" si="69"/>
        <v>0</v>
      </c>
      <c r="U379" s="1284">
        <f t="shared" si="70"/>
        <v>0</v>
      </c>
      <c r="V379" s="1285">
        <f t="shared" si="71"/>
        <v>0</v>
      </c>
    </row>
    <row r="380" spans="2:22" outlineLevel="1">
      <c r="B380" s="1278" t="s">
        <v>1775</v>
      </c>
      <c r="C380" s="1279" t="s">
        <v>982</v>
      </c>
      <c r="D380" s="1280" t="s">
        <v>983</v>
      </c>
      <c r="E380" s="1321" t="s">
        <v>775</v>
      </c>
      <c r="F380" s="1281">
        <v>7982.35</v>
      </c>
      <c r="G380" s="1338"/>
      <c r="H380" s="1282">
        <f t="shared" si="63"/>
        <v>0</v>
      </c>
      <c r="I380" s="1338"/>
      <c r="J380" s="1282">
        <f t="shared" si="64"/>
        <v>0</v>
      </c>
      <c r="K380" s="1338"/>
      <c r="L380" s="1282">
        <f t="shared" si="65"/>
        <v>0</v>
      </c>
      <c r="M380" s="1338"/>
      <c r="N380" s="1282">
        <f t="shared" si="66"/>
        <v>0</v>
      </c>
      <c r="O380" s="1338"/>
      <c r="P380" s="1282">
        <f t="shared" si="67"/>
        <v>0</v>
      </c>
      <c r="Q380" s="1338"/>
      <c r="R380" s="1282">
        <f t="shared" si="68"/>
        <v>0</v>
      </c>
      <c r="S380" s="1338"/>
      <c r="T380" s="1283">
        <f t="shared" si="69"/>
        <v>0</v>
      </c>
      <c r="U380" s="1284">
        <f t="shared" si="70"/>
        <v>0</v>
      </c>
      <c r="V380" s="1285">
        <f t="shared" si="71"/>
        <v>0</v>
      </c>
    </row>
    <row r="381" spans="2:22" outlineLevel="1">
      <c r="B381" s="1278" t="s">
        <v>1776</v>
      </c>
      <c r="C381" s="1279" t="s">
        <v>982</v>
      </c>
      <c r="D381" s="1280" t="s">
        <v>983</v>
      </c>
      <c r="E381" s="1321" t="s">
        <v>776</v>
      </c>
      <c r="F381" s="1281">
        <v>8921.4500000000007</v>
      </c>
      <c r="G381" s="1338"/>
      <c r="H381" s="1282">
        <f t="shared" si="63"/>
        <v>0</v>
      </c>
      <c r="I381" s="1338"/>
      <c r="J381" s="1282">
        <f t="shared" si="64"/>
        <v>0</v>
      </c>
      <c r="K381" s="1338"/>
      <c r="L381" s="1282">
        <f t="shared" si="65"/>
        <v>0</v>
      </c>
      <c r="M381" s="1338"/>
      <c r="N381" s="1282">
        <f t="shared" si="66"/>
        <v>0</v>
      </c>
      <c r="O381" s="1338"/>
      <c r="P381" s="1282">
        <f t="shared" si="67"/>
        <v>0</v>
      </c>
      <c r="Q381" s="1338"/>
      <c r="R381" s="1282">
        <f t="shared" si="68"/>
        <v>0</v>
      </c>
      <c r="S381" s="1338"/>
      <c r="T381" s="1283">
        <f t="shared" si="69"/>
        <v>0</v>
      </c>
      <c r="U381" s="1284">
        <f t="shared" si="70"/>
        <v>0</v>
      </c>
      <c r="V381" s="1285">
        <f t="shared" si="71"/>
        <v>0</v>
      </c>
    </row>
    <row r="382" spans="2:22" outlineLevel="1">
      <c r="B382" s="1278" t="s">
        <v>1777</v>
      </c>
      <c r="C382" s="1279" t="s">
        <v>982</v>
      </c>
      <c r="D382" s="1280" t="s">
        <v>983</v>
      </c>
      <c r="E382" s="1321" t="s">
        <v>824</v>
      </c>
      <c r="F382" s="1281">
        <v>10330.1</v>
      </c>
      <c r="G382" s="1338"/>
      <c r="H382" s="1282">
        <f t="shared" si="63"/>
        <v>0</v>
      </c>
      <c r="I382" s="1338"/>
      <c r="J382" s="1282">
        <f t="shared" si="64"/>
        <v>0</v>
      </c>
      <c r="K382" s="1338"/>
      <c r="L382" s="1282">
        <f t="shared" si="65"/>
        <v>0</v>
      </c>
      <c r="M382" s="1338"/>
      <c r="N382" s="1282">
        <f t="shared" si="66"/>
        <v>0</v>
      </c>
      <c r="O382" s="1338"/>
      <c r="P382" s="1282">
        <f t="shared" si="67"/>
        <v>0</v>
      </c>
      <c r="Q382" s="1338"/>
      <c r="R382" s="1282">
        <f t="shared" si="68"/>
        <v>0</v>
      </c>
      <c r="S382" s="1338"/>
      <c r="T382" s="1283">
        <f t="shared" si="69"/>
        <v>0</v>
      </c>
      <c r="U382" s="1284">
        <f t="shared" si="70"/>
        <v>0</v>
      </c>
      <c r="V382" s="1285">
        <f t="shared" si="71"/>
        <v>0</v>
      </c>
    </row>
    <row r="383" spans="2:22" outlineLevel="1">
      <c r="B383" s="1278" t="s">
        <v>1778</v>
      </c>
      <c r="C383" s="1279" t="s">
        <v>982</v>
      </c>
      <c r="D383" s="1280" t="s">
        <v>983</v>
      </c>
      <c r="E383" s="1321" t="s">
        <v>779</v>
      </c>
      <c r="F383" s="1281">
        <v>12208.3</v>
      </c>
      <c r="G383" s="1338"/>
      <c r="H383" s="1282">
        <f t="shared" ref="H383:H446" si="72">F383*G383</f>
        <v>0</v>
      </c>
      <c r="I383" s="1338"/>
      <c r="J383" s="1282">
        <f t="shared" si="64"/>
        <v>0</v>
      </c>
      <c r="K383" s="1338"/>
      <c r="L383" s="1282">
        <f t="shared" si="65"/>
        <v>0</v>
      </c>
      <c r="M383" s="1338"/>
      <c r="N383" s="1282">
        <f t="shared" si="66"/>
        <v>0</v>
      </c>
      <c r="O383" s="1338"/>
      <c r="P383" s="1282">
        <f t="shared" si="67"/>
        <v>0</v>
      </c>
      <c r="Q383" s="1338"/>
      <c r="R383" s="1282">
        <f t="shared" si="68"/>
        <v>0</v>
      </c>
      <c r="S383" s="1338"/>
      <c r="T383" s="1283">
        <f t="shared" si="69"/>
        <v>0</v>
      </c>
      <c r="U383" s="1284">
        <f t="shared" si="70"/>
        <v>0</v>
      </c>
      <c r="V383" s="1285">
        <f t="shared" si="71"/>
        <v>0</v>
      </c>
    </row>
    <row r="384" spans="2:22" outlineLevel="1">
      <c r="B384" s="1278" t="s">
        <v>1779</v>
      </c>
      <c r="C384" s="1279" t="s">
        <v>982</v>
      </c>
      <c r="D384" s="1280" t="s">
        <v>983</v>
      </c>
      <c r="E384" s="1321" t="s">
        <v>780</v>
      </c>
      <c r="F384" s="1281">
        <v>14086.5</v>
      </c>
      <c r="G384" s="1338"/>
      <c r="H384" s="1282">
        <f t="shared" si="72"/>
        <v>0</v>
      </c>
      <c r="I384" s="1338"/>
      <c r="J384" s="1282">
        <f t="shared" ref="J384:J447" si="73">F384*I384</f>
        <v>0</v>
      </c>
      <c r="K384" s="1338"/>
      <c r="L384" s="1282">
        <f t="shared" ref="L384:L447" si="74">F384*K384</f>
        <v>0</v>
      </c>
      <c r="M384" s="1338"/>
      <c r="N384" s="1282">
        <f t="shared" ref="N384:N447" si="75">F384*M384</f>
        <v>0</v>
      </c>
      <c r="O384" s="1338"/>
      <c r="P384" s="1282">
        <f t="shared" ref="P384:P447" si="76">F384*O384</f>
        <v>0</v>
      </c>
      <c r="Q384" s="1338"/>
      <c r="R384" s="1282">
        <f t="shared" ref="R384:R447" si="77">F384*Q384</f>
        <v>0</v>
      </c>
      <c r="S384" s="1338"/>
      <c r="T384" s="1283">
        <f t="shared" ref="T384:T447" si="78">F384*S384</f>
        <v>0</v>
      </c>
      <c r="U384" s="1284">
        <f t="shared" si="70"/>
        <v>0</v>
      </c>
      <c r="V384" s="1285">
        <f t="shared" si="71"/>
        <v>0</v>
      </c>
    </row>
    <row r="385" spans="2:22" outlineLevel="1">
      <c r="B385" s="1278" t="s">
        <v>1780</v>
      </c>
      <c r="C385" s="1279" t="s">
        <v>982</v>
      </c>
      <c r="D385" s="1280" t="s">
        <v>983</v>
      </c>
      <c r="E385" s="1321" t="s">
        <v>781</v>
      </c>
      <c r="F385" s="1281">
        <v>15964.7</v>
      </c>
      <c r="G385" s="1338"/>
      <c r="H385" s="1282">
        <f t="shared" si="72"/>
        <v>0</v>
      </c>
      <c r="I385" s="1338"/>
      <c r="J385" s="1282">
        <f t="shared" si="73"/>
        <v>0</v>
      </c>
      <c r="K385" s="1338"/>
      <c r="L385" s="1282">
        <f t="shared" si="74"/>
        <v>0</v>
      </c>
      <c r="M385" s="1338"/>
      <c r="N385" s="1282">
        <f t="shared" si="75"/>
        <v>0</v>
      </c>
      <c r="O385" s="1338"/>
      <c r="P385" s="1282">
        <f t="shared" si="76"/>
        <v>0</v>
      </c>
      <c r="Q385" s="1338"/>
      <c r="R385" s="1282">
        <f t="shared" si="77"/>
        <v>0</v>
      </c>
      <c r="S385" s="1338"/>
      <c r="T385" s="1283">
        <f t="shared" si="78"/>
        <v>0</v>
      </c>
      <c r="U385" s="1284">
        <f t="shared" si="70"/>
        <v>0</v>
      </c>
      <c r="V385" s="1285">
        <f t="shared" si="71"/>
        <v>0</v>
      </c>
    </row>
    <row r="386" spans="2:22" outlineLevel="1">
      <c r="B386" s="1278" t="s">
        <v>1781</v>
      </c>
      <c r="C386" s="1279" t="s">
        <v>982</v>
      </c>
      <c r="D386" s="1280" t="s">
        <v>983</v>
      </c>
      <c r="E386" s="1321" t="s">
        <v>782</v>
      </c>
      <c r="F386" s="1281">
        <v>17842.900000000001</v>
      </c>
      <c r="G386" s="1338"/>
      <c r="H386" s="1282">
        <f t="shared" si="72"/>
        <v>0</v>
      </c>
      <c r="I386" s="1338"/>
      <c r="J386" s="1282">
        <f t="shared" si="73"/>
        <v>0</v>
      </c>
      <c r="K386" s="1338"/>
      <c r="L386" s="1282">
        <f t="shared" si="74"/>
        <v>0</v>
      </c>
      <c r="M386" s="1338"/>
      <c r="N386" s="1282">
        <f t="shared" si="75"/>
        <v>0</v>
      </c>
      <c r="O386" s="1338"/>
      <c r="P386" s="1282">
        <f t="shared" si="76"/>
        <v>0</v>
      </c>
      <c r="Q386" s="1338"/>
      <c r="R386" s="1282">
        <f t="shared" si="77"/>
        <v>0</v>
      </c>
      <c r="S386" s="1338"/>
      <c r="T386" s="1283">
        <f t="shared" si="78"/>
        <v>0</v>
      </c>
      <c r="U386" s="1284">
        <f t="shared" si="70"/>
        <v>0</v>
      </c>
      <c r="V386" s="1285">
        <f t="shared" si="71"/>
        <v>0</v>
      </c>
    </row>
    <row r="387" spans="2:22" outlineLevel="1">
      <c r="B387" s="1278" t="s">
        <v>1782</v>
      </c>
      <c r="C387" s="1279" t="s">
        <v>982</v>
      </c>
      <c r="D387" s="1280" t="s">
        <v>983</v>
      </c>
      <c r="E387" s="1321" t="s">
        <v>985</v>
      </c>
      <c r="F387" s="1281">
        <v>19721.099999999999</v>
      </c>
      <c r="G387" s="1338"/>
      <c r="H387" s="1282">
        <f t="shared" si="72"/>
        <v>0</v>
      </c>
      <c r="I387" s="1338"/>
      <c r="J387" s="1282">
        <f t="shared" si="73"/>
        <v>0</v>
      </c>
      <c r="K387" s="1338"/>
      <c r="L387" s="1282">
        <f t="shared" si="74"/>
        <v>0</v>
      </c>
      <c r="M387" s="1338"/>
      <c r="N387" s="1282">
        <f t="shared" si="75"/>
        <v>0</v>
      </c>
      <c r="O387" s="1338"/>
      <c r="P387" s="1282">
        <f t="shared" si="76"/>
        <v>0</v>
      </c>
      <c r="Q387" s="1338"/>
      <c r="R387" s="1282">
        <f t="shared" si="77"/>
        <v>0</v>
      </c>
      <c r="S387" s="1338"/>
      <c r="T387" s="1283">
        <f t="shared" si="78"/>
        <v>0</v>
      </c>
      <c r="U387" s="1284">
        <f t="shared" si="70"/>
        <v>0</v>
      </c>
      <c r="V387" s="1285">
        <f t="shared" si="71"/>
        <v>0</v>
      </c>
    </row>
    <row r="388" spans="2:22">
      <c r="B388" s="1254" t="s">
        <v>1783</v>
      </c>
      <c r="C388" s="1254" t="s">
        <v>986</v>
      </c>
      <c r="D388" s="1254"/>
      <c r="E388" s="1255"/>
      <c r="F388" s="1302"/>
      <c r="G388" s="1339"/>
      <c r="H388" s="1296"/>
      <c r="I388" s="1339"/>
      <c r="J388" s="1296"/>
      <c r="K388" s="1339"/>
      <c r="L388" s="1296"/>
      <c r="M388" s="1339"/>
      <c r="N388" s="1296"/>
      <c r="O388" s="1339"/>
      <c r="P388" s="1296"/>
      <c r="Q388" s="1339"/>
      <c r="R388" s="1296"/>
      <c r="S388" s="1339"/>
      <c r="T388" s="1296"/>
      <c r="U388" s="1297"/>
      <c r="V388" s="1298"/>
    </row>
    <row r="389" spans="2:22" ht="13.5" outlineLevel="1">
      <c r="B389" s="1278" t="s">
        <v>1784</v>
      </c>
      <c r="C389" s="1278" t="s">
        <v>986</v>
      </c>
      <c r="D389" s="1287" t="s">
        <v>987</v>
      </c>
      <c r="E389" s="1287" t="s">
        <v>988</v>
      </c>
      <c r="F389" s="1281">
        <v>1700</v>
      </c>
      <c r="G389" s="1338"/>
      <c r="H389" s="1282">
        <f t="shared" si="72"/>
        <v>0</v>
      </c>
      <c r="I389" s="1338"/>
      <c r="J389" s="1282">
        <f t="shared" si="73"/>
        <v>0</v>
      </c>
      <c r="K389" s="1338"/>
      <c r="L389" s="1282">
        <f t="shared" si="74"/>
        <v>0</v>
      </c>
      <c r="M389" s="1338"/>
      <c r="N389" s="1282">
        <f t="shared" si="75"/>
        <v>0</v>
      </c>
      <c r="O389" s="1338"/>
      <c r="P389" s="1282">
        <f t="shared" si="76"/>
        <v>0</v>
      </c>
      <c r="Q389" s="1338"/>
      <c r="R389" s="1282">
        <f t="shared" si="77"/>
        <v>0</v>
      </c>
      <c r="S389" s="1338"/>
      <c r="T389" s="1283">
        <f t="shared" si="78"/>
        <v>0</v>
      </c>
      <c r="U389" s="1284">
        <f t="shared" si="70"/>
        <v>0</v>
      </c>
      <c r="V389" s="1285">
        <f t="shared" si="71"/>
        <v>0</v>
      </c>
    </row>
    <row r="390" spans="2:22" ht="13.5" outlineLevel="1">
      <c r="B390" s="1278" t="s">
        <v>1785</v>
      </c>
      <c r="C390" s="1278" t="s">
        <v>986</v>
      </c>
      <c r="D390" s="1287" t="s">
        <v>989</v>
      </c>
      <c r="E390" s="1287" t="s">
        <v>990</v>
      </c>
      <c r="F390" s="1281">
        <v>2762.5</v>
      </c>
      <c r="G390" s="1338"/>
      <c r="H390" s="1282">
        <f t="shared" si="72"/>
        <v>0</v>
      </c>
      <c r="I390" s="1338"/>
      <c r="J390" s="1282">
        <f t="shared" si="73"/>
        <v>0</v>
      </c>
      <c r="K390" s="1338"/>
      <c r="L390" s="1282">
        <f t="shared" si="74"/>
        <v>0</v>
      </c>
      <c r="M390" s="1338"/>
      <c r="N390" s="1282">
        <f t="shared" si="75"/>
        <v>0</v>
      </c>
      <c r="O390" s="1338"/>
      <c r="P390" s="1282">
        <f t="shared" si="76"/>
        <v>0</v>
      </c>
      <c r="Q390" s="1338"/>
      <c r="R390" s="1282">
        <f t="shared" si="77"/>
        <v>0</v>
      </c>
      <c r="S390" s="1338"/>
      <c r="T390" s="1283">
        <f t="shared" si="78"/>
        <v>0</v>
      </c>
      <c r="U390" s="1284">
        <f t="shared" si="70"/>
        <v>0</v>
      </c>
      <c r="V390" s="1285">
        <f t="shared" si="71"/>
        <v>0</v>
      </c>
    </row>
    <row r="391" spans="2:22" outlineLevel="1">
      <c r="B391" s="1278" t="s">
        <v>1786</v>
      </c>
      <c r="C391" s="1278" t="s">
        <v>986</v>
      </c>
      <c r="D391" s="1287" t="s">
        <v>991</v>
      </c>
      <c r="E391" s="1287" t="s">
        <v>992</v>
      </c>
      <c r="F391" s="1281">
        <v>3825</v>
      </c>
      <c r="G391" s="1338"/>
      <c r="H391" s="1282">
        <f t="shared" si="72"/>
        <v>0</v>
      </c>
      <c r="I391" s="1338"/>
      <c r="J391" s="1282">
        <f t="shared" si="73"/>
        <v>0</v>
      </c>
      <c r="K391" s="1338"/>
      <c r="L391" s="1282">
        <f t="shared" si="74"/>
        <v>0</v>
      </c>
      <c r="M391" s="1338"/>
      <c r="N391" s="1282">
        <f t="shared" si="75"/>
        <v>0</v>
      </c>
      <c r="O391" s="1338"/>
      <c r="P391" s="1282">
        <f t="shared" si="76"/>
        <v>0</v>
      </c>
      <c r="Q391" s="1338"/>
      <c r="R391" s="1282">
        <f t="shared" si="77"/>
        <v>0</v>
      </c>
      <c r="S391" s="1338"/>
      <c r="T391" s="1283">
        <f t="shared" si="78"/>
        <v>0</v>
      </c>
      <c r="U391" s="1284">
        <f t="shared" si="70"/>
        <v>0</v>
      </c>
      <c r="V391" s="1285">
        <f t="shared" si="71"/>
        <v>0</v>
      </c>
    </row>
    <row r="392" spans="2:22" outlineLevel="1">
      <c r="B392" s="1278" t="s">
        <v>1787</v>
      </c>
      <c r="C392" s="1278" t="s">
        <v>986</v>
      </c>
      <c r="D392" s="1287" t="s">
        <v>993</v>
      </c>
      <c r="E392" s="1287" t="s">
        <v>994</v>
      </c>
      <c r="F392" s="1281">
        <v>5418.75</v>
      </c>
      <c r="G392" s="1338"/>
      <c r="H392" s="1282">
        <f t="shared" si="72"/>
        <v>0</v>
      </c>
      <c r="I392" s="1338"/>
      <c r="J392" s="1282">
        <f t="shared" si="73"/>
        <v>0</v>
      </c>
      <c r="K392" s="1338"/>
      <c r="L392" s="1282">
        <f t="shared" si="74"/>
        <v>0</v>
      </c>
      <c r="M392" s="1338"/>
      <c r="N392" s="1282">
        <f t="shared" si="75"/>
        <v>0</v>
      </c>
      <c r="O392" s="1338"/>
      <c r="P392" s="1282">
        <f t="shared" si="76"/>
        <v>0</v>
      </c>
      <c r="Q392" s="1338"/>
      <c r="R392" s="1282">
        <f t="shared" si="77"/>
        <v>0</v>
      </c>
      <c r="S392" s="1338"/>
      <c r="T392" s="1283">
        <f t="shared" si="78"/>
        <v>0</v>
      </c>
      <c r="U392" s="1284">
        <f t="shared" si="70"/>
        <v>0</v>
      </c>
      <c r="V392" s="1285">
        <f t="shared" si="71"/>
        <v>0</v>
      </c>
    </row>
    <row r="393" spans="2:22" outlineLevel="1">
      <c r="B393" s="1278" t="s">
        <v>1788</v>
      </c>
      <c r="C393" s="1278" t="s">
        <v>986</v>
      </c>
      <c r="D393" s="1287" t="s">
        <v>995</v>
      </c>
      <c r="E393" s="1287" t="s">
        <v>996</v>
      </c>
      <c r="F393" s="1281">
        <v>7543.75</v>
      </c>
      <c r="G393" s="1338"/>
      <c r="H393" s="1282">
        <f t="shared" si="72"/>
        <v>0</v>
      </c>
      <c r="I393" s="1338"/>
      <c r="J393" s="1282">
        <f t="shared" si="73"/>
        <v>0</v>
      </c>
      <c r="K393" s="1338"/>
      <c r="L393" s="1282">
        <f t="shared" si="74"/>
        <v>0</v>
      </c>
      <c r="M393" s="1338"/>
      <c r="N393" s="1282">
        <f t="shared" si="75"/>
        <v>0</v>
      </c>
      <c r="O393" s="1338"/>
      <c r="P393" s="1282">
        <f t="shared" si="76"/>
        <v>0</v>
      </c>
      <c r="Q393" s="1338"/>
      <c r="R393" s="1282">
        <f t="shared" si="77"/>
        <v>0</v>
      </c>
      <c r="S393" s="1338"/>
      <c r="T393" s="1283">
        <f t="shared" si="78"/>
        <v>0</v>
      </c>
      <c r="U393" s="1284">
        <f t="shared" si="70"/>
        <v>0</v>
      </c>
      <c r="V393" s="1285">
        <f t="shared" si="71"/>
        <v>0</v>
      </c>
    </row>
    <row r="394" spans="2:22" outlineLevel="1">
      <c r="B394" s="1278" t="s">
        <v>1789</v>
      </c>
      <c r="C394" s="1278" t="s">
        <v>986</v>
      </c>
      <c r="D394" s="1287" t="s">
        <v>997</v>
      </c>
      <c r="E394" s="1287" t="s">
        <v>998</v>
      </c>
      <c r="F394" s="1281">
        <v>9668.75</v>
      </c>
      <c r="G394" s="1338"/>
      <c r="H394" s="1282">
        <f t="shared" si="72"/>
        <v>0</v>
      </c>
      <c r="I394" s="1338"/>
      <c r="J394" s="1282">
        <f t="shared" si="73"/>
        <v>0</v>
      </c>
      <c r="K394" s="1338"/>
      <c r="L394" s="1282">
        <f t="shared" si="74"/>
        <v>0</v>
      </c>
      <c r="M394" s="1338"/>
      <c r="N394" s="1282">
        <f t="shared" si="75"/>
        <v>0</v>
      </c>
      <c r="O394" s="1338"/>
      <c r="P394" s="1282">
        <f t="shared" si="76"/>
        <v>0</v>
      </c>
      <c r="Q394" s="1338"/>
      <c r="R394" s="1282">
        <f t="shared" si="77"/>
        <v>0</v>
      </c>
      <c r="S394" s="1338"/>
      <c r="T394" s="1283">
        <f t="shared" si="78"/>
        <v>0</v>
      </c>
      <c r="U394" s="1284">
        <f t="shared" si="70"/>
        <v>0</v>
      </c>
      <c r="V394" s="1285">
        <f t="shared" si="71"/>
        <v>0</v>
      </c>
    </row>
    <row r="395" spans="2:22" outlineLevel="1">
      <c r="B395" s="1278" t="s">
        <v>1790</v>
      </c>
      <c r="C395" s="1278" t="s">
        <v>986</v>
      </c>
      <c r="D395" s="1287" t="s">
        <v>999</v>
      </c>
      <c r="E395" s="1287" t="s">
        <v>1000</v>
      </c>
      <c r="F395" s="1281">
        <v>11793.75</v>
      </c>
      <c r="G395" s="1338"/>
      <c r="H395" s="1282">
        <f t="shared" si="72"/>
        <v>0</v>
      </c>
      <c r="I395" s="1338"/>
      <c r="J395" s="1282">
        <f t="shared" si="73"/>
        <v>0</v>
      </c>
      <c r="K395" s="1338"/>
      <c r="L395" s="1282">
        <f t="shared" si="74"/>
        <v>0</v>
      </c>
      <c r="M395" s="1338"/>
      <c r="N395" s="1282">
        <f t="shared" si="75"/>
        <v>0</v>
      </c>
      <c r="O395" s="1338"/>
      <c r="P395" s="1282">
        <f t="shared" si="76"/>
        <v>0</v>
      </c>
      <c r="Q395" s="1338"/>
      <c r="R395" s="1282">
        <f t="shared" si="77"/>
        <v>0</v>
      </c>
      <c r="S395" s="1338"/>
      <c r="T395" s="1283">
        <f t="shared" si="78"/>
        <v>0</v>
      </c>
      <c r="U395" s="1284">
        <f t="shared" si="70"/>
        <v>0</v>
      </c>
      <c r="V395" s="1285">
        <f t="shared" si="71"/>
        <v>0</v>
      </c>
    </row>
    <row r="396" spans="2:22" outlineLevel="1">
      <c r="B396" s="1278" t="s">
        <v>1791</v>
      </c>
      <c r="C396" s="1278" t="s">
        <v>986</v>
      </c>
      <c r="D396" s="1287" t="s">
        <v>1001</v>
      </c>
      <c r="E396" s="1287" t="s">
        <v>1002</v>
      </c>
      <c r="F396" s="1281">
        <v>13918.75</v>
      </c>
      <c r="G396" s="1338"/>
      <c r="H396" s="1282">
        <f t="shared" si="72"/>
        <v>0</v>
      </c>
      <c r="I396" s="1338"/>
      <c r="J396" s="1282">
        <f t="shared" si="73"/>
        <v>0</v>
      </c>
      <c r="K396" s="1338"/>
      <c r="L396" s="1282">
        <f t="shared" si="74"/>
        <v>0</v>
      </c>
      <c r="M396" s="1338"/>
      <c r="N396" s="1282">
        <f t="shared" si="75"/>
        <v>0</v>
      </c>
      <c r="O396" s="1338"/>
      <c r="P396" s="1282">
        <f t="shared" si="76"/>
        <v>0</v>
      </c>
      <c r="Q396" s="1338"/>
      <c r="R396" s="1282">
        <f t="shared" si="77"/>
        <v>0</v>
      </c>
      <c r="S396" s="1338"/>
      <c r="T396" s="1283">
        <f t="shared" si="78"/>
        <v>0</v>
      </c>
      <c r="U396" s="1284">
        <f t="shared" si="70"/>
        <v>0</v>
      </c>
      <c r="V396" s="1285">
        <f t="shared" si="71"/>
        <v>0</v>
      </c>
    </row>
    <row r="397" spans="2:22" outlineLevel="1">
      <c r="B397" s="1278" t="s">
        <v>1792</v>
      </c>
      <c r="C397" s="1278" t="s">
        <v>986</v>
      </c>
      <c r="D397" s="1287" t="s">
        <v>1003</v>
      </c>
      <c r="E397" s="1287" t="s">
        <v>1004</v>
      </c>
      <c r="F397" s="1281">
        <v>16043.75</v>
      </c>
      <c r="G397" s="1338"/>
      <c r="H397" s="1282">
        <f t="shared" si="72"/>
        <v>0</v>
      </c>
      <c r="I397" s="1338"/>
      <c r="J397" s="1282">
        <f t="shared" si="73"/>
        <v>0</v>
      </c>
      <c r="K397" s="1338"/>
      <c r="L397" s="1282">
        <f t="shared" si="74"/>
        <v>0</v>
      </c>
      <c r="M397" s="1338"/>
      <c r="N397" s="1282">
        <f t="shared" si="75"/>
        <v>0</v>
      </c>
      <c r="O397" s="1338"/>
      <c r="P397" s="1282">
        <f t="shared" si="76"/>
        <v>0</v>
      </c>
      <c r="Q397" s="1338"/>
      <c r="R397" s="1282">
        <f t="shared" si="77"/>
        <v>0</v>
      </c>
      <c r="S397" s="1338"/>
      <c r="T397" s="1283">
        <f t="shared" si="78"/>
        <v>0</v>
      </c>
      <c r="U397" s="1284">
        <f t="shared" si="70"/>
        <v>0</v>
      </c>
      <c r="V397" s="1285">
        <f t="shared" si="71"/>
        <v>0</v>
      </c>
    </row>
    <row r="398" spans="2:22" outlineLevel="1">
      <c r="B398" s="1278" t="s">
        <v>1793</v>
      </c>
      <c r="C398" s="1278" t="s">
        <v>986</v>
      </c>
      <c r="D398" s="1287" t="s">
        <v>1005</v>
      </c>
      <c r="E398" s="1287" t="s">
        <v>1006</v>
      </c>
      <c r="F398" s="1281">
        <v>18168.75</v>
      </c>
      <c r="G398" s="1338"/>
      <c r="H398" s="1282">
        <f t="shared" si="72"/>
        <v>0</v>
      </c>
      <c r="I398" s="1338"/>
      <c r="J398" s="1282">
        <f t="shared" si="73"/>
        <v>0</v>
      </c>
      <c r="K398" s="1338"/>
      <c r="L398" s="1282">
        <f t="shared" si="74"/>
        <v>0</v>
      </c>
      <c r="M398" s="1338"/>
      <c r="N398" s="1282">
        <f t="shared" si="75"/>
        <v>0</v>
      </c>
      <c r="O398" s="1338"/>
      <c r="P398" s="1282">
        <f t="shared" si="76"/>
        <v>0</v>
      </c>
      <c r="Q398" s="1338"/>
      <c r="R398" s="1282">
        <f t="shared" si="77"/>
        <v>0</v>
      </c>
      <c r="S398" s="1338"/>
      <c r="T398" s="1283">
        <f t="shared" si="78"/>
        <v>0</v>
      </c>
      <c r="U398" s="1284">
        <f t="shared" si="70"/>
        <v>0</v>
      </c>
      <c r="V398" s="1285">
        <f t="shared" si="71"/>
        <v>0</v>
      </c>
    </row>
    <row r="399" spans="2:22" outlineLevel="1">
      <c r="B399" s="1278" t="s">
        <v>1794</v>
      </c>
      <c r="C399" s="1278" t="s">
        <v>986</v>
      </c>
      <c r="D399" s="1287" t="s">
        <v>1007</v>
      </c>
      <c r="E399" s="1287" t="s">
        <v>1008</v>
      </c>
      <c r="F399" s="1281">
        <v>20293.75</v>
      </c>
      <c r="G399" s="1338"/>
      <c r="H399" s="1282">
        <f t="shared" si="72"/>
        <v>0</v>
      </c>
      <c r="I399" s="1338"/>
      <c r="J399" s="1282">
        <f t="shared" si="73"/>
        <v>0</v>
      </c>
      <c r="K399" s="1338"/>
      <c r="L399" s="1282">
        <f t="shared" si="74"/>
        <v>0</v>
      </c>
      <c r="M399" s="1338"/>
      <c r="N399" s="1282">
        <f t="shared" si="75"/>
        <v>0</v>
      </c>
      <c r="O399" s="1338"/>
      <c r="P399" s="1282">
        <f t="shared" si="76"/>
        <v>0</v>
      </c>
      <c r="Q399" s="1338"/>
      <c r="R399" s="1282">
        <f t="shared" si="77"/>
        <v>0</v>
      </c>
      <c r="S399" s="1338"/>
      <c r="T399" s="1283">
        <f t="shared" si="78"/>
        <v>0</v>
      </c>
      <c r="U399" s="1284">
        <f t="shared" si="70"/>
        <v>0</v>
      </c>
      <c r="V399" s="1285">
        <f t="shared" si="71"/>
        <v>0</v>
      </c>
    </row>
    <row r="400" spans="2:22" outlineLevel="1">
      <c r="B400" s="1278" t="s">
        <v>1795</v>
      </c>
      <c r="C400" s="1278" t="s">
        <v>986</v>
      </c>
      <c r="D400" s="1287" t="s">
        <v>1009</v>
      </c>
      <c r="E400" s="1287" t="s">
        <v>1010</v>
      </c>
      <c r="F400" s="1281">
        <v>22950</v>
      </c>
      <c r="G400" s="1338"/>
      <c r="H400" s="1282">
        <f t="shared" si="72"/>
        <v>0</v>
      </c>
      <c r="I400" s="1338"/>
      <c r="J400" s="1282">
        <f t="shared" si="73"/>
        <v>0</v>
      </c>
      <c r="K400" s="1338"/>
      <c r="L400" s="1282">
        <f t="shared" si="74"/>
        <v>0</v>
      </c>
      <c r="M400" s="1338"/>
      <c r="N400" s="1282">
        <f t="shared" si="75"/>
        <v>0</v>
      </c>
      <c r="O400" s="1338"/>
      <c r="P400" s="1282">
        <f t="shared" si="76"/>
        <v>0</v>
      </c>
      <c r="Q400" s="1338"/>
      <c r="R400" s="1282">
        <f t="shared" si="77"/>
        <v>0</v>
      </c>
      <c r="S400" s="1338"/>
      <c r="T400" s="1283">
        <f t="shared" si="78"/>
        <v>0</v>
      </c>
      <c r="U400" s="1284">
        <f t="shared" si="70"/>
        <v>0</v>
      </c>
      <c r="V400" s="1285">
        <f t="shared" si="71"/>
        <v>0</v>
      </c>
    </row>
    <row r="401" spans="2:22" outlineLevel="1">
      <c r="B401" s="1278" t="s">
        <v>1796</v>
      </c>
      <c r="C401" s="1278" t="s">
        <v>986</v>
      </c>
      <c r="D401" s="1287" t="s">
        <v>1011</v>
      </c>
      <c r="E401" s="1287" t="s">
        <v>1012</v>
      </c>
      <c r="F401" s="1281">
        <v>26137.5</v>
      </c>
      <c r="G401" s="1338"/>
      <c r="H401" s="1282">
        <f t="shared" si="72"/>
        <v>0</v>
      </c>
      <c r="I401" s="1338"/>
      <c r="J401" s="1282">
        <f t="shared" si="73"/>
        <v>0</v>
      </c>
      <c r="K401" s="1338"/>
      <c r="L401" s="1282">
        <f t="shared" si="74"/>
        <v>0</v>
      </c>
      <c r="M401" s="1338"/>
      <c r="N401" s="1282">
        <f t="shared" si="75"/>
        <v>0</v>
      </c>
      <c r="O401" s="1338"/>
      <c r="P401" s="1282">
        <f t="shared" si="76"/>
        <v>0</v>
      </c>
      <c r="Q401" s="1338"/>
      <c r="R401" s="1282">
        <f t="shared" si="77"/>
        <v>0</v>
      </c>
      <c r="S401" s="1338"/>
      <c r="T401" s="1283">
        <f t="shared" si="78"/>
        <v>0</v>
      </c>
      <c r="U401" s="1284">
        <f t="shared" si="70"/>
        <v>0</v>
      </c>
      <c r="V401" s="1285">
        <f t="shared" si="71"/>
        <v>0</v>
      </c>
    </row>
    <row r="402" spans="2:22" outlineLevel="1">
      <c r="B402" s="1278" t="s">
        <v>1797</v>
      </c>
      <c r="C402" s="1278" t="s">
        <v>986</v>
      </c>
      <c r="D402" s="1287" t="s">
        <v>1013</v>
      </c>
      <c r="E402" s="1287" t="s">
        <v>1014</v>
      </c>
      <c r="F402" s="1281">
        <v>29325</v>
      </c>
      <c r="G402" s="1338"/>
      <c r="H402" s="1282">
        <f t="shared" si="72"/>
        <v>0</v>
      </c>
      <c r="I402" s="1338"/>
      <c r="J402" s="1282">
        <f t="shared" si="73"/>
        <v>0</v>
      </c>
      <c r="K402" s="1338"/>
      <c r="L402" s="1282">
        <f t="shared" si="74"/>
        <v>0</v>
      </c>
      <c r="M402" s="1338"/>
      <c r="N402" s="1282">
        <f t="shared" si="75"/>
        <v>0</v>
      </c>
      <c r="O402" s="1338"/>
      <c r="P402" s="1282">
        <f t="shared" si="76"/>
        <v>0</v>
      </c>
      <c r="Q402" s="1338"/>
      <c r="R402" s="1282">
        <f t="shared" si="77"/>
        <v>0</v>
      </c>
      <c r="S402" s="1338"/>
      <c r="T402" s="1283">
        <f t="shared" si="78"/>
        <v>0</v>
      </c>
      <c r="U402" s="1284">
        <f t="shared" si="70"/>
        <v>0</v>
      </c>
      <c r="V402" s="1285">
        <f t="shared" si="71"/>
        <v>0</v>
      </c>
    </row>
    <row r="403" spans="2:22" outlineLevel="1">
      <c r="B403" s="1278" t="s">
        <v>1798</v>
      </c>
      <c r="C403" s="1278" t="s">
        <v>986</v>
      </c>
      <c r="D403" s="1287" t="s">
        <v>1015</v>
      </c>
      <c r="E403" s="1287" t="s">
        <v>1016</v>
      </c>
      <c r="F403" s="1281">
        <v>32512.5</v>
      </c>
      <c r="G403" s="1338"/>
      <c r="H403" s="1282">
        <f t="shared" si="72"/>
        <v>0</v>
      </c>
      <c r="I403" s="1338"/>
      <c r="J403" s="1282">
        <f t="shared" si="73"/>
        <v>0</v>
      </c>
      <c r="K403" s="1338"/>
      <c r="L403" s="1282">
        <f t="shared" si="74"/>
        <v>0</v>
      </c>
      <c r="M403" s="1338"/>
      <c r="N403" s="1282">
        <f t="shared" si="75"/>
        <v>0</v>
      </c>
      <c r="O403" s="1338"/>
      <c r="P403" s="1282">
        <f t="shared" si="76"/>
        <v>0</v>
      </c>
      <c r="Q403" s="1338"/>
      <c r="R403" s="1282">
        <f t="shared" si="77"/>
        <v>0</v>
      </c>
      <c r="S403" s="1338"/>
      <c r="T403" s="1283">
        <f t="shared" si="78"/>
        <v>0</v>
      </c>
      <c r="U403" s="1284">
        <f t="shared" si="70"/>
        <v>0</v>
      </c>
      <c r="V403" s="1285">
        <f t="shared" si="71"/>
        <v>0</v>
      </c>
    </row>
    <row r="404" spans="2:22" outlineLevel="1">
      <c r="B404" s="1278" t="s">
        <v>1799</v>
      </c>
      <c r="C404" s="1278" t="s">
        <v>986</v>
      </c>
      <c r="D404" s="1287" t="s">
        <v>1017</v>
      </c>
      <c r="E404" s="1287" t="s">
        <v>1018</v>
      </c>
      <c r="F404" s="1281">
        <v>35700</v>
      </c>
      <c r="G404" s="1338"/>
      <c r="H404" s="1282">
        <f t="shared" si="72"/>
        <v>0</v>
      </c>
      <c r="I404" s="1338"/>
      <c r="J404" s="1282">
        <f t="shared" si="73"/>
        <v>0</v>
      </c>
      <c r="K404" s="1338"/>
      <c r="L404" s="1282">
        <f t="shared" si="74"/>
        <v>0</v>
      </c>
      <c r="M404" s="1338"/>
      <c r="N404" s="1282">
        <f t="shared" si="75"/>
        <v>0</v>
      </c>
      <c r="O404" s="1338"/>
      <c r="P404" s="1282">
        <f t="shared" si="76"/>
        <v>0</v>
      </c>
      <c r="Q404" s="1338"/>
      <c r="R404" s="1282">
        <f t="shared" si="77"/>
        <v>0</v>
      </c>
      <c r="S404" s="1338"/>
      <c r="T404" s="1283">
        <f t="shared" si="78"/>
        <v>0</v>
      </c>
      <c r="U404" s="1284">
        <f t="shared" si="70"/>
        <v>0</v>
      </c>
      <c r="V404" s="1285">
        <f t="shared" si="71"/>
        <v>0</v>
      </c>
    </row>
    <row r="405" spans="2:22" outlineLevel="1">
      <c r="B405" s="1278" t="s">
        <v>1800</v>
      </c>
      <c r="C405" s="1278" t="s">
        <v>986</v>
      </c>
      <c r="D405" s="1287" t="s">
        <v>1019</v>
      </c>
      <c r="E405" s="1287" t="s">
        <v>1020</v>
      </c>
      <c r="F405" s="1281">
        <v>38887.5</v>
      </c>
      <c r="G405" s="1338"/>
      <c r="H405" s="1282">
        <f t="shared" si="72"/>
        <v>0</v>
      </c>
      <c r="I405" s="1338"/>
      <c r="J405" s="1282">
        <f t="shared" si="73"/>
        <v>0</v>
      </c>
      <c r="K405" s="1338"/>
      <c r="L405" s="1282">
        <f t="shared" si="74"/>
        <v>0</v>
      </c>
      <c r="M405" s="1338"/>
      <c r="N405" s="1282">
        <f t="shared" si="75"/>
        <v>0</v>
      </c>
      <c r="O405" s="1338"/>
      <c r="P405" s="1282">
        <f t="shared" si="76"/>
        <v>0</v>
      </c>
      <c r="Q405" s="1338"/>
      <c r="R405" s="1282">
        <f t="shared" si="77"/>
        <v>0</v>
      </c>
      <c r="S405" s="1338"/>
      <c r="T405" s="1283">
        <f t="shared" si="78"/>
        <v>0</v>
      </c>
      <c r="U405" s="1284">
        <f t="shared" si="70"/>
        <v>0</v>
      </c>
      <c r="V405" s="1285">
        <f t="shared" si="71"/>
        <v>0</v>
      </c>
    </row>
    <row r="406" spans="2:22" outlineLevel="1">
      <c r="B406" s="1278" t="s">
        <v>1801</v>
      </c>
      <c r="C406" s="1278" t="s">
        <v>986</v>
      </c>
      <c r="D406" s="1287" t="s">
        <v>1021</v>
      </c>
      <c r="E406" s="1287" t="s">
        <v>1022</v>
      </c>
      <c r="F406" s="1281">
        <v>42075</v>
      </c>
      <c r="G406" s="1338"/>
      <c r="H406" s="1282">
        <f t="shared" si="72"/>
        <v>0</v>
      </c>
      <c r="I406" s="1338"/>
      <c r="J406" s="1282">
        <f t="shared" si="73"/>
        <v>0</v>
      </c>
      <c r="K406" s="1338"/>
      <c r="L406" s="1282">
        <f t="shared" si="74"/>
        <v>0</v>
      </c>
      <c r="M406" s="1338"/>
      <c r="N406" s="1282">
        <f t="shared" si="75"/>
        <v>0</v>
      </c>
      <c r="O406" s="1338"/>
      <c r="P406" s="1282">
        <f t="shared" si="76"/>
        <v>0</v>
      </c>
      <c r="Q406" s="1338"/>
      <c r="R406" s="1282">
        <f t="shared" si="77"/>
        <v>0</v>
      </c>
      <c r="S406" s="1338"/>
      <c r="T406" s="1283">
        <f t="shared" si="78"/>
        <v>0</v>
      </c>
      <c r="U406" s="1284">
        <f t="shared" si="70"/>
        <v>0</v>
      </c>
      <c r="V406" s="1285">
        <f t="shared" si="71"/>
        <v>0</v>
      </c>
    </row>
    <row r="407" spans="2:22" outlineLevel="1">
      <c r="B407" s="1278" t="s">
        <v>1802</v>
      </c>
      <c r="C407" s="1278" t="s">
        <v>986</v>
      </c>
      <c r="D407" s="1287" t="s">
        <v>1023</v>
      </c>
      <c r="E407" s="1287" t="s">
        <v>1024</v>
      </c>
      <c r="F407" s="1281">
        <v>45262.5</v>
      </c>
      <c r="G407" s="1338"/>
      <c r="H407" s="1282">
        <f t="shared" si="72"/>
        <v>0</v>
      </c>
      <c r="I407" s="1338"/>
      <c r="J407" s="1282">
        <f t="shared" si="73"/>
        <v>0</v>
      </c>
      <c r="K407" s="1338"/>
      <c r="L407" s="1282">
        <f t="shared" si="74"/>
        <v>0</v>
      </c>
      <c r="M407" s="1338"/>
      <c r="N407" s="1282">
        <f t="shared" si="75"/>
        <v>0</v>
      </c>
      <c r="O407" s="1338"/>
      <c r="P407" s="1282">
        <f t="shared" si="76"/>
        <v>0</v>
      </c>
      <c r="Q407" s="1338"/>
      <c r="R407" s="1282">
        <f t="shared" si="77"/>
        <v>0</v>
      </c>
      <c r="S407" s="1338"/>
      <c r="T407" s="1283">
        <f t="shared" si="78"/>
        <v>0</v>
      </c>
      <c r="U407" s="1284">
        <f t="shared" si="70"/>
        <v>0</v>
      </c>
      <c r="V407" s="1285">
        <f t="shared" si="71"/>
        <v>0</v>
      </c>
    </row>
    <row r="408" spans="2:22" outlineLevel="1">
      <c r="B408" s="1278" t="s">
        <v>1803</v>
      </c>
      <c r="C408" s="1278" t="s">
        <v>986</v>
      </c>
      <c r="D408" s="1287" t="s">
        <v>1025</v>
      </c>
      <c r="E408" s="1287" t="s">
        <v>1026</v>
      </c>
      <c r="F408" s="1281">
        <v>48450</v>
      </c>
      <c r="G408" s="1338"/>
      <c r="H408" s="1282">
        <f t="shared" si="72"/>
        <v>0</v>
      </c>
      <c r="I408" s="1338"/>
      <c r="J408" s="1282">
        <f t="shared" si="73"/>
        <v>0</v>
      </c>
      <c r="K408" s="1338"/>
      <c r="L408" s="1282">
        <f t="shared" si="74"/>
        <v>0</v>
      </c>
      <c r="M408" s="1338"/>
      <c r="N408" s="1282">
        <f t="shared" si="75"/>
        <v>0</v>
      </c>
      <c r="O408" s="1338"/>
      <c r="P408" s="1282">
        <f t="shared" si="76"/>
        <v>0</v>
      </c>
      <c r="Q408" s="1338"/>
      <c r="R408" s="1282">
        <f t="shared" si="77"/>
        <v>0</v>
      </c>
      <c r="S408" s="1338"/>
      <c r="T408" s="1283">
        <f t="shared" si="78"/>
        <v>0</v>
      </c>
      <c r="U408" s="1284">
        <f t="shared" si="70"/>
        <v>0</v>
      </c>
      <c r="V408" s="1285">
        <f t="shared" si="71"/>
        <v>0</v>
      </c>
    </row>
    <row r="409" spans="2:22" outlineLevel="1">
      <c r="B409" s="1278" t="s">
        <v>1804</v>
      </c>
      <c r="C409" s="1278" t="s">
        <v>986</v>
      </c>
      <c r="D409" s="1287" t="s">
        <v>1027</v>
      </c>
      <c r="E409" s="1287" t="s">
        <v>1028</v>
      </c>
      <c r="F409" s="1281">
        <v>51637.5</v>
      </c>
      <c r="G409" s="1338"/>
      <c r="H409" s="1282">
        <f t="shared" si="72"/>
        <v>0</v>
      </c>
      <c r="I409" s="1338"/>
      <c r="J409" s="1282">
        <f t="shared" si="73"/>
        <v>0</v>
      </c>
      <c r="K409" s="1338"/>
      <c r="L409" s="1282">
        <f t="shared" si="74"/>
        <v>0</v>
      </c>
      <c r="M409" s="1338"/>
      <c r="N409" s="1282">
        <f t="shared" si="75"/>
        <v>0</v>
      </c>
      <c r="O409" s="1338"/>
      <c r="P409" s="1282">
        <f t="shared" si="76"/>
        <v>0</v>
      </c>
      <c r="Q409" s="1338"/>
      <c r="R409" s="1282">
        <f t="shared" si="77"/>
        <v>0</v>
      </c>
      <c r="S409" s="1338"/>
      <c r="T409" s="1283">
        <f t="shared" si="78"/>
        <v>0</v>
      </c>
      <c r="U409" s="1284">
        <f t="shared" si="70"/>
        <v>0</v>
      </c>
      <c r="V409" s="1285">
        <f t="shared" si="71"/>
        <v>0</v>
      </c>
    </row>
    <row r="410" spans="2:22" outlineLevel="1">
      <c r="B410" s="1278" t="s">
        <v>1805</v>
      </c>
      <c r="C410" s="1278" t="s">
        <v>986</v>
      </c>
      <c r="D410" s="1287" t="s">
        <v>1029</v>
      </c>
      <c r="E410" s="1287" t="s">
        <v>1030</v>
      </c>
      <c r="F410" s="1281">
        <v>54825</v>
      </c>
      <c r="G410" s="1338"/>
      <c r="H410" s="1282">
        <f t="shared" si="72"/>
        <v>0</v>
      </c>
      <c r="I410" s="1338"/>
      <c r="J410" s="1282">
        <f t="shared" si="73"/>
        <v>0</v>
      </c>
      <c r="K410" s="1338"/>
      <c r="L410" s="1282">
        <f t="shared" si="74"/>
        <v>0</v>
      </c>
      <c r="M410" s="1338"/>
      <c r="N410" s="1282">
        <f t="shared" si="75"/>
        <v>0</v>
      </c>
      <c r="O410" s="1338"/>
      <c r="P410" s="1282">
        <f t="shared" si="76"/>
        <v>0</v>
      </c>
      <c r="Q410" s="1338"/>
      <c r="R410" s="1282">
        <f t="shared" si="77"/>
        <v>0</v>
      </c>
      <c r="S410" s="1338"/>
      <c r="T410" s="1283">
        <f t="shared" si="78"/>
        <v>0</v>
      </c>
      <c r="U410" s="1284">
        <f t="shared" si="70"/>
        <v>0</v>
      </c>
      <c r="V410" s="1285">
        <f t="shared" si="71"/>
        <v>0</v>
      </c>
    </row>
    <row r="411" spans="2:22" outlineLevel="1">
      <c r="B411" s="1278" t="s">
        <v>1806</v>
      </c>
      <c r="C411" s="1278" t="s">
        <v>986</v>
      </c>
      <c r="D411" s="1287" t="s">
        <v>1031</v>
      </c>
      <c r="E411" s="1287" t="s">
        <v>1032</v>
      </c>
      <c r="F411" s="1281">
        <v>58012.5</v>
      </c>
      <c r="G411" s="1338"/>
      <c r="H411" s="1282">
        <f t="shared" si="72"/>
        <v>0</v>
      </c>
      <c r="I411" s="1338"/>
      <c r="J411" s="1282">
        <f t="shared" si="73"/>
        <v>0</v>
      </c>
      <c r="K411" s="1338"/>
      <c r="L411" s="1282">
        <f t="shared" si="74"/>
        <v>0</v>
      </c>
      <c r="M411" s="1338"/>
      <c r="N411" s="1282">
        <f t="shared" si="75"/>
        <v>0</v>
      </c>
      <c r="O411" s="1338"/>
      <c r="P411" s="1282">
        <f t="shared" si="76"/>
        <v>0</v>
      </c>
      <c r="Q411" s="1338"/>
      <c r="R411" s="1282">
        <f t="shared" si="77"/>
        <v>0</v>
      </c>
      <c r="S411" s="1338"/>
      <c r="T411" s="1283">
        <f t="shared" si="78"/>
        <v>0</v>
      </c>
      <c r="U411" s="1284">
        <f t="shared" si="70"/>
        <v>0</v>
      </c>
      <c r="V411" s="1285">
        <f t="shared" si="71"/>
        <v>0</v>
      </c>
    </row>
    <row r="412" spans="2:22" outlineLevel="1">
      <c r="B412" s="1278" t="s">
        <v>1807</v>
      </c>
      <c r="C412" s="1278" t="s">
        <v>986</v>
      </c>
      <c r="D412" s="1287" t="s">
        <v>1033</v>
      </c>
      <c r="E412" s="1287" t="s">
        <v>1034</v>
      </c>
      <c r="F412" s="1281">
        <v>61306.25</v>
      </c>
      <c r="G412" s="1338"/>
      <c r="H412" s="1282">
        <f t="shared" si="72"/>
        <v>0</v>
      </c>
      <c r="I412" s="1338"/>
      <c r="J412" s="1282">
        <f t="shared" si="73"/>
        <v>0</v>
      </c>
      <c r="K412" s="1338"/>
      <c r="L412" s="1282">
        <f t="shared" si="74"/>
        <v>0</v>
      </c>
      <c r="M412" s="1338"/>
      <c r="N412" s="1282">
        <f t="shared" si="75"/>
        <v>0</v>
      </c>
      <c r="O412" s="1338"/>
      <c r="P412" s="1282">
        <f t="shared" si="76"/>
        <v>0</v>
      </c>
      <c r="Q412" s="1338"/>
      <c r="R412" s="1282">
        <f t="shared" si="77"/>
        <v>0</v>
      </c>
      <c r="S412" s="1338"/>
      <c r="T412" s="1283">
        <f t="shared" si="78"/>
        <v>0</v>
      </c>
      <c r="U412" s="1284">
        <f t="shared" si="70"/>
        <v>0</v>
      </c>
      <c r="V412" s="1285">
        <f t="shared" si="71"/>
        <v>0</v>
      </c>
    </row>
    <row r="413" spans="2:22">
      <c r="B413" s="1254" t="s">
        <v>1808</v>
      </c>
      <c r="C413" s="1254" t="s">
        <v>1035</v>
      </c>
      <c r="D413" s="1254"/>
      <c r="E413" s="1255"/>
      <c r="F413" s="1302"/>
      <c r="G413" s="1339"/>
      <c r="H413" s="1296"/>
      <c r="I413" s="1339"/>
      <c r="J413" s="1296"/>
      <c r="K413" s="1339"/>
      <c r="L413" s="1296"/>
      <c r="M413" s="1339"/>
      <c r="N413" s="1296"/>
      <c r="O413" s="1339"/>
      <c r="P413" s="1296"/>
      <c r="Q413" s="1339"/>
      <c r="R413" s="1296"/>
      <c r="S413" s="1339"/>
      <c r="T413" s="1296"/>
      <c r="U413" s="1297"/>
      <c r="V413" s="1298"/>
    </row>
    <row r="414" spans="2:22" outlineLevel="1">
      <c r="B414" s="1278" t="s">
        <v>1809</v>
      </c>
      <c r="C414" s="1278" t="s">
        <v>1035</v>
      </c>
      <c r="D414" s="1287" t="s">
        <v>1036</v>
      </c>
      <c r="E414" s="1287" t="s">
        <v>1037</v>
      </c>
      <c r="F414" s="1281">
        <v>1580</v>
      </c>
      <c r="G414" s="1338"/>
      <c r="H414" s="1282">
        <f t="shared" si="72"/>
        <v>0</v>
      </c>
      <c r="I414" s="1338"/>
      <c r="J414" s="1282">
        <f t="shared" si="73"/>
        <v>0</v>
      </c>
      <c r="K414" s="1338"/>
      <c r="L414" s="1282">
        <f t="shared" si="74"/>
        <v>0</v>
      </c>
      <c r="M414" s="1338"/>
      <c r="N414" s="1282">
        <f t="shared" si="75"/>
        <v>0</v>
      </c>
      <c r="O414" s="1338"/>
      <c r="P414" s="1282">
        <f t="shared" si="76"/>
        <v>0</v>
      </c>
      <c r="Q414" s="1338"/>
      <c r="R414" s="1282">
        <f t="shared" si="77"/>
        <v>0</v>
      </c>
      <c r="S414" s="1338"/>
      <c r="T414" s="1283">
        <f t="shared" si="78"/>
        <v>0</v>
      </c>
      <c r="U414" s="1284">
        <f t="shared" si="70"/>
        <v>0</v>
      </c>
      <c r="V414" s="1285">
        <f t="shared" si="71"/>
        <v>0</v>
      </c>
    </row>
    <row r="415" spans="2:22" outlineLevel="1">
      <c r="B415" s="1278" t="s">
        <v>1810</v>
      </c>
      <c r="C415" s="1278" t="s">
        <v>1035</v>
      </c>
      <c r="D415" s="1287" t="s">
        <v>1038</v>
      </c>
      <c r="E415" s="1287" t="s">
        <v>1039</v>
      </c>
      <c r="F415" s="1281">
        <v>3555</v>
      </c>
      <c r="G415" s="1338"/>
      <c r="H415" s="1282">
        <f t="shared" si="72"/>
        <v>0</v>
      </c>
      <c r="I415" s="1338"/>
      <c r="J415" s="1282">
        <f t="shared" si="73"/>
        <v>0</v>
      </c>
      <c r="K415" s="1338"/>
      <c r="L415" s="1282">
        <f t="shared" si="74"/>
        <v>0</v>
      </c>
      <c r="M415" s="1338"/>
      <c r="N415" s="1282">
        <f t="shared" si="75"/>
        <v>0</v>
      </c>
      <c r="O415" s="1338"/>
      <c r="P415" s="1282">
        <f t="shared" si="76"/>
        <v>0</v>
      </c>
      <c r="Q415" s="1338"/>
      <c r="R415" s="1282">
        <f t="shared" si="77"/>
        <v>0</v>
      </c>
      <c r="S415" s="1338"/>
      <c r="T415" s="1283">
        <f t="shared" si="78"/>
        <v>0</v>
      </c>
      <c r="U415" s="1284">
        <f t="shared" si="70"/>
        <v>0</v>
      </c>
      <c r="V415" s="1285">
        <f t="shared" si="71"/>
        <v>0</v>
      </c>
    </row>
    <row r="416" spans="2:22" outlineLevel="1">
      <c r="B416" s="1278" t="s">
        <v>1811</v>
      </c>
      <c r="C416" s="1278" t="s">
        <v>1035</v>
      </c>
      <c r="D416" s="1287" t="s">
        <v>1040</v>
      </c>
      <c r="E416" s="1287" t="s">
        <v>1041</v>
      </c>
      <c r="F416" s="1281">
        <v>5530</v>
      </c>
      <c r="G416" s="1338"/>
      <c r="H416" s="1282">
        <f t="shared" si="72"/>
        <v>0</v>
      </c>
      <c r="I416" s="1338"/>
      <c r="J416" s="1282">
        <f t="shared" si="73"/>
        <v>0</v>
      </c>
      <c r="K416" s="1338"/>
      <c r="L416" s="1282">
        <f t="shared" si="74"/>
        <v>0</v>
      </c>
      <c r="M416" s="1338"/>
      <c r="N416" s="1282">
        <f t="shared" si="75"/>
        <v>0</v>
      </c>
      <c r="O416" s="1338"/>
      <c r="P416" s="1282">
        <f t="shared" si="76"/>
        <v>0</v>
      </c>
      <c r="Q416" s="1338"/>
      <c r="R416" s="1282">
        <f t="shared" si="77"/>
        <v>0</v>
      </c>
      <c r="S416" s="1338"/>
      <c r="T416" s="1283">
        <f t="shared" si="78"/>
        <v>0</v>
      </c>
      <c r="U416" s="1284">
        <f t="shared" si="70"/>
        <v>0</v>
      </c>
      <c r="V416" s="1285">
        <f t="shared" si="71"/>
        <v>0</v>
      </c>
    </row>
    <row r="417" spans="2:22" outlineLevel="1">
      <c r="B417" s="1278" t="s">
        <v>1812</v>
      </c>
      <c r="C417" s="1278" t="s">
        <v>1035</v>
      </c>
      <c r="D417" s="1287" t="s">
        <v>1042</v>
      </c>
      <c r="E417" s="1287" t="s">
        <v>1043</v>
      </c>
      <c r="F417" s="1281">
        <v>8295</v>
      </c>
      <c r="G417" s="1338"/>
      <c r="H417" s="1282">
        <f t="shared" si="72"/>
        <v>0</v>
      </c>
      <c r="I417" s="1338"/>
      <c r="J417" s="1282">
        <f t="shared" si="73"/>
        <v>0</v>
      </c>
      <c r="K417" s="1338"/>
      <c r="L417" s="1282">
        <f t="shared" si="74"/>
        <v>0</v>
      </c>
      <c r="M417" s="1338"/>
      <c r="N417" s="1282">
        <f t="shared" si="75"/>
        <v>0</v>
      </c>
      <c r="O417" s="1338"/>
      <c r="P417" s="1282">
        <f t="shared" si="76"/>
        <v>0</v>
      </c>
      <c r="Q417" s="1338"/>
      <c r="R417" s="1282">
        <f t="shared" si="77"/>
        <v>0</v>
      </c>
      <c r="S417" s="1338"/>
      <c r="T417" s="1283">
        <f t="shared" si="78"/>
        <v>0</v>
      </c>
      <c r="U417" s="1284">
        <f t="shared" si="70"/>
        <v>0</v>
      </c>
      <c r="V417" s="1285">
        <f t="shared" si="71"/>
        <v>0</v>
      </c>
    </row>
    <row r="418" spans="2:22" outlineLevel="1">
      <c r="B418" s="1278" t="s">
        <v>1813</v>
      </c>
      <c r="C418" s="1278" t="s">
        <v>1035</v>
      </c>
      <c r="D418" s="1287" t="s">
        <v>1044</v>
      </c>
      <c r="E418" s="1287" t="s">
        <v>1045</v>
      </c>
      <c r="F418" s="1281">
        <v>11060</v>
      </c>
      <c r="G418" s="1338"/>
      <c r="H418" s="1282">
        <f t="shared" si="72"/>
        <v>0</v>
      </c>
      <c r="I418" s="1338"/>
      <c r="J418" s="1282">
        <f t="shared" si="73"/>
        <v>0</v>
      </c>
      <c r="K418" s="1338"/>
      <c r="L418" s="1282">
        <f t="shared" si="74"/>
        <v>0</v>
      </c>
      <c r="M418" s="1338"/>
      <c r="N418" s="1282">
        <f t="shared" si="75"/>
        <v>0</v>
      </c>
      <c r="O418" s="1338"/>
      <c r="P418" s="1282">
        <f t="shared" si="76"/>
        <v>0</v>
      </c>
      <c r="Q418" s="1338"/>
      <c r="R418" s="1282">
        <f t="shared" si="77"/>
        <v>0</v>
      </c>
      <c r="S418" s="1338"/>
      <c r="T418" s="1283">
        <f t="shared" si="78"/>
        <v>0</v>
      </c>
      <c r="U418" s="1284">
        <f t="shared" si="70"/>
        <v>0</v>
      </c>
      <c r="V418" s="1285">
        <f t="shared" si="71"/>
        <v>0</v>
      </c>
    </row>
    <row r="419" spans="2:22" outlineLevel="1">
      <c r="B419" s="1278" t="s">
        <v>1814</v>
      </c>
      <c r="C419" s="1278" t="s">
        <v>1035</v>
      </c>
      <c r="D419" s="1287" t="s">
        <v>1046</v>
      </c>
      <c r="E419" s="1287" t="s">
        <v>1047</v>
      </c>
      <c r="F419" s="1281">
        <v>13430</v>
      </c>
      <c r="G419" s="1338"/>
      <c r="H419" s="1282">
        <f t="shared" si="72"/>
        <v>0</v>
      </c>
      <c r="I419" s="1338"/>
      <c r="J419" s="1282">
        <f t="shared" si="73"/>
        <v>0</v>
      </c>
      <c r="K419" s="1338"/>
      <c r="L419" s="1282">
        <f t="shared" si="74"/>
        <v>0</v>
      </c>
      <c r="M419" s="1338"/>
      <c r="N419" s="1282">
        <f t="shared" si="75"/>
        <v>0</v>
      </c>
      <c r="O419" s="1338"/>
      <c r="P419" s="1282">
        <f t="shared" si="76"/>
        <v>0</v>
      </c>
      <c r="Q419" s="1338"/>
      <c r="R419" s="1282">
        <f t="shared" si="77"/>
        <v>0</v>
      </c>
      <c r="S419" s="1338"/>
      <c r="T419" s="1283">
        <f t="shared" si="78"/>
        <v>0</v>
      </c>
      <c r="U419" s="1284">
        <f t="shared" si="70"/>
        <v>0</v>
      </c>
      <c r="V419" s="1285">
        <f t="shared" si="71"/>
        <v>0</v>
      </c>
    </row>
    <row r="420" spans="2:22" outlineLevel="1">
      <c r="B420" s="1278" t="s">
        <v>1815</v>
      </c>
      <c r="C420" s="1278" t="s">
        <v>1035</v>
      </c>
      <c r="D420" s="1287" t="s">
        <v>1048</v>
      </c>
      <c r="E420" s="1287" t="s">
        <v>1049</v>
      </c>
      <c r="F420" s="1281">
        <v>15800</v>
      </c>
      <c r="G420" s="1338"/>
      <c r="H420" s="1282">
        <f t="shared" si="72"/>
        <v>0</v>
      </c>
      <c r="I420" s="1338"/>
      <c r="J420" s="1282">
        <f t="shared" si="73"/>
        <v>0</v>
      </c>
      <c r="K420" s="1338"/>
      <c r="L420" s="1282">
        <f t="shared" si="74"/>
        <v>0</v>
      </c>
      <c r="M420" s="1338"/>
      <c r="N420" s="1282">
        <f t="shared" si="75"/>
        <v>0</v>
      </c>
      <c r="O420" s="1338"/>
      <c r="P420" s="1282">
        <f t="shared" si="76"/>
        <v>0</v>
      </c>
      <c r="Q420" s="1338"/>
      <c r="R420" s="1282">
        <f t="shared" si="77"/>
        <v>0</v>
      </c>
      <c r="S420" s="1338"/>
      <c r="T420" s="1283">
        <f t="shared" si="78"/>
        <v>0</v>
      </c>
      <c r="U420" s="1284">
        <f t="shared" si="70"/>
        <v>0</v>
      </c>
      <c r="V420" s="1285">
        <f t="shared" si="71"/>
        <v>0</v>
      </c>
    </row>
    <row r="421" spans="2:22" outlineLevel="1">
      <c r="B421" s="1278" t="s">
        <v>1816</v>
      </c>
      <c r="C421" s="1278" t="s">
        <v>1035</v>
      </c>
      <c r="D421" s="1287" t="s">
        <v>1050</v>
      </c>
      <c r="E421" s="1287" t="s">
        <v>1051</v>
      </c>
      <c r="F421" s="1281">
        <v>18170</v>
      </c>
      <c r="G421" s="1338"/>
      <c r="H421" s="1282">
        <f t="shared" si="72"/>
        <v>0</v>
      </c>
      <c r="I421" s="1338"/>
      <c r="J421" s="1282">
        <f t="shared" si="73"/>
        <v>0</v>
      </c>
      <c r="K421" s="1338"/>
      <c r="L421" s="1282">
        <f t="shared" si="74"/>
        <v>0</v>
      </c>
      <c r="M421" s="1338"/>
      <c r="N421" s="1282">
        <f t="shared" si="75"/>
        <v>0</v>
      </c>
      <c r="O421" s="1338"/>
      <c r="P421" s="1282">
        <f t="shared" si="76"/>
        <v>0</v>
      </c>
      <c r="Q421" s="1338"/>
      <c r="R421" s="1282">
        <f t="shared" si="77"/>
        <v>0</v>
      </c>
      <c r="S421" s="1338"/>
      <c r="T421" s="1283">
        <f t="shared" si="78"/>
        <v>0</v>
      </c>
      <c r="U421" s="1284">
        <f t="shared" ref="U421:U484" si="79">G421+I421+K421+M421+O421+Q421+S421</f>
        <v>0</v>
      </c>
      <c r="V421" s="1285">
        <f t="shared" ref="V421:V484" si="80">U421*F421</f>
        <v>0</v>
      </c>
    </row>
    <row r="422" spans="2:22" outlineLevel="1">
      <c r="B422" s="1278" t="s">
        <v>1817</v>
      </c>
      <c r="C422" s="1278" t="s">
        <v>1035</v>
      </c>
      <c r="D422" s="1287" t="s">
        <v>1052</v>
      </c>
      <c r="E422" s="1287" t="s">
        <v>1053</v>
      </c>
      <c r="F422" s="1281">
        <v>20540</v>
      </c>
      <c r="G422" s="1338"/>
      <c r="H422" s="1282">
        <f t="shared" si="72"/>
        <v>0</v>
      </c>
      <c r="I422" s="1338"/>
      <c r="J422" s="1282">
        <f t="shared" si="73"/>
        <v>0</v>
      </c>
      <c r="K422" s="1338"/>
      <c r="L422" s="1282">
        <f t="shared" si="74"/>
        <v>0</v>
      </c>
      <c r="M422" s="1338"/>
      <c r="N422" s="1282">
        <f t="shared" si="75"/>
        <v>0</v>
      </c>
      <c r="O422" s="1338"/>
      <c r="P422" s="1282">
        <f t="shared" si="76"/>
        <v>0</v>
      </c>
      <c r="Q422" s="1338"/>
      <c r="R422" s="1282">
        <f t="shared" si="77"/>
        <v>0</v>
      </c>
      <c r="S422" s="1338"/>
      <c r="T422" s="1283">
        <f t="shared" si="78"/>
        <v>0</v>
      </c>
      <c r="U422" s="1284">
        <f t="shared" si="79"/>
        <v>0</v>
      </c>
      <c r="V422" s="1285">
        <f t="shared" si="80"/>
        <v>0</v>
      </c>
    </row>
    <row r="423" spans="2:22" outlineLevel="1">
      <c r="B423" s="1278" t="s">
        <v>1818</v>
      </c>
      <c r="C423" s="1278" t="s">
        <v>1035</v>
      </c>
      <c r="D423" s="1287" t="s">
        <v>1054</v>
      </c>
      <c r="E423" s="1287" t="s">
        <v>1055</v>
      </c>
      <c r="F423" s="1281">
        <v>22910</v>
      </c>
      <c r="G423" s="1338"/>
      <c r="H423" s="1282">
        <f t="shared" si="72"/>
        <v>0</v>
      </c>
      <c r="I423" s="1338"/>
      <c r="J423" s="1282">
        <f t="shared" si="73"/>
        <v>0</v>
      </c>
      <c r="K423" s="1338"/>
      <c r="L423" s="1282">
        <f t="shared" si="74"/>
        <v>0</v>
      </c>
      <c r="M423" s="1338"/>
      <c r="N423" s="1282">
        <f t="shared" si="75"/>
        <v>0</v>
      </c>
      <c r="O423" s="1338"/>
      <c r="P423" s="1282">
        <f t="shared" si="76"/>
        <v>0</v>
      </c>
      <c r="Q423" s="1338"/>
      <c r="R423" s="1282">
        <f t="shared" si="77"/>
        <v>0</v>
      </c>
      <c r="S423" s="1338"/>
      <c r="T423" s="1283">
        <f t="shared" si="78"/>
        <v>0</v>
      </c>
      <c r="U423" s="1284">
        <f t="shared" si="79"/>
        <v>0</v>
      </c>
      <c r="V423" s="1285">
        <f t="shared" si="80"/>
        <v>0</v>
      </c>
    </row>
    <row r="424" spans="2:22" outlineLevel="1">
      <c r="B424" s="1278" t="s">
        <v>1819</v>
      </c>
      <c r="C424" s="1278" t="s">
        <v>1035</v>
      </c>
      <c r="D424" s="1287" t="s">
        <v>1056</v>
      </c>
      <c r="E424" s="1287" t="s">
        <v>1057</v>
      </c>
      <c r="F424" s="1281">
        <v>26465</v>
      </c>
      <c r="G424" s="1338"/>
      <c r="H424" s="1282">
        <f t="shared" si="72"/>
        <v>0</v>
      </c>
      <c r="I424" s="1338"/>
      <c r="J424" s="1282">
        <f t="shared" si="73"/>
        <v>0</v>
      </c>
      <c r="K424" s="1338"/>
      <c r="L424" s="1282">
        <f t="shared" si="74"/>
        <v>0</v>
      </c>
      <c r="M424" s="1338"/>
      <c r="N424" s="1282">
        <f t="shared" si="75"/>
        <v>0</v>
      </c>
      <c r="O424" s="1338"/>
      <c r="P424" s="1282">
        <f t="shared" si="76"/>
        <v>0</v>
      </c>
      <c r="Q424" s="1338"/>
      <c r="R424" s="1282">
        <f t="shared" si="77"/>
        <v>0</v>
      </c>
      <c r="S424" s="1338"/>
      <c r="T424" s="1283">
        <f t="shared" si="78"/>
        <v>0</v>
      </c>
      <c r="U424" s="1284">
        <f t="shared" si="79"/>
        <v>0</v>
      </c>
      <c r="V424" s="1285">
        <f t="shared" si="80"/>
        <v>0</v>
      </c>
    </row>
    <row r="425" spans="2:22" outlineLevel="1">
      <c r="B425" s="1278" t="s">
        <v>1820</v>
      </c>
      <c r="C425" s="1278" t="s">
        <v>1035</v>
      </c>
      <c r="D425" s="1287" t="s">
        <v>1058</v>
      </c>
      <c r="E425" s="1287" t="s">
        <v>1059</v>
      </c>
      <c r="F425" s="1281">
        <v>31205</v>
      </c>
      <c r="G425" s="1338"/>
      <c r="H425" s="1282">
        <f t="shared" si="72"/>
        <v>0</v>
      </c>
      <c r="I425" s="1338"/>
      <c r="J425" s="1282">
        <f t="shared" si="73"/>
        <v>0</v>
      </c>
      <c r="K425" s="1338"/>
      <c r="L425" s="1282">
        <f t="shared" si="74"/>
        <v>0</v>
      </c>
      <c r="M425" s="1338"/>
      <c r="N425" s="1282">
        <f t="shared" si="75"/>
        <v>0</v>
      </c>
      <c r="O425" s="1338"/>
      <c r="P425" s="1282">
        <f t="shared" si="76"/>
        <v>0</v>
      </c>
      <c r="Q425" s="1338"/>
      <c r="R425" s="1282">
        <f t="shared" si="77"/>
        <v>0</v>
      </c>
      <c r="S425" s="1338"/>
      <c r="T425" s="1283">
        <f t="shared" si="78"/>
        <v>0</v>
      </c>
      <c r="U425" s="1284">
        <f t="shared" si="79"/>
        <v>0</v>
      </c>
      <c r="V425" s="1285">
        <f t="shared" si="80"/>
        <v>0</v>
      </c>
    </row>
    <row r="426" spans="2:22" outlineLevel="1">
      <c r="B426" s="1278" t="s">
        <v>1821</v>
      </c>
      <c r="C426" s="1278" t="s">
        <v>1035</v>
      </c>
      <c r="D426" s="1287" t="s">
        <v>1060</v>
      </c>
      <c r="E426" s="1287" t="s">
        <v>1061</v>
      </c>
      <c r="F426" s="1281">
        <v>35945</v>
      </c>
      <c r="G426" s="1338"/>
      <c r="H426" s="1282">
        <f t="shared" si="72"/>
        <v>0</v>
      </c>
      <c r="I426" s="1338"/>
      <c r="J426" s="1282">
        <f t="shared" si="73"/>
        <v>0</v>
      </c>
      <c r="K426" s="1338"/>
      <c r="L426" s="1282">
        <f t="shared" si="74"/>
        <v>0</v>
      </c>
      <c r="M426" s="1338"/>
      <c r="N426" s="1282">
        <f t="shared" si="75"/>
        <v>0</v>
      </c>
      <c r="O426" s="1338"/>
      <c r="P426" s="1282">
        <f t="shared" si="76"/>
        <v>0</v>
      </c>
      <c r="Q426" s="1338"/>
      <c r="R426" s="1282">
        <f t="shared" si="77"/>
        <v>0</v>
      </c>
      <c r="S426" s="1338"/>
      <c r="T426" s="1283">
        <f t="shared" si="78"/>
        <v>0</v>
      </c>
      <c r="U426" s="1284">
        <f t="shared" si="79"/>
        <v>0</v>
      </c>
      <c r="V426" s="1285">
        <f t="shared" si="80"/>
        <v>0</v>
      </c>
    </row>
    <row r="427" spans="2:22" outlineLevel="1">
      <c r="B427" s="1278" t="s">
        <v>1822</v>
      </c>
      <c r="C427" s="1278" t="s">
        <v>1035</v>
      </c>
      <c r="D427" s="1287" t="s">
        <v>1062</v>
      </c>
      <c r="E427" s="1287" t="s">
        <v>1063</v>
      </c>
      <c r="F427" s="1281">
        <v>40685</v>
      </c>
      <c r="G427" s="1338"/>
      <c r="H427" s="1282">
        <f t="shared" si="72"/>
        <v>0</v>
      </c>
      <c r="I427" s="1338"/>
      <c r="J427" s="1282">
        <f t="shared" si="73"/>
        <v>0</v>
      </c>
      <c r="K427" s="1338"/>
      <c r="L427" s="1282">
        <f t="shared" si="74"/>
        <v>0</v>
      </c>
      <c r="M427" s="1338"/>
      <c r="N427" s="1282">
        <f t="shared" si="75"/>
        <v>0</v>
      </c>
      <c r="O427" s="1338"/>
      <c r="P427" s="1282">
        <f t="shared" si="76"/>
        <v>0</v>
      </c>
      <c r="Q427" s="1338"/>
      <c r="R427" s="1282">
        <f t="shared" si="77"/>
        <v>0</v>
      </c>
      <c r="S427" s="1338"/>
      <c r="T427" s="1283">
        <f t="shared" si="78"/>
        <v>0</v>
      </c>
      <c r="U427" s="1284">
        <f t="shared" si="79"/>
        <v>0</v>
      </c>
      <c r="V427" s="1285">
        <f t="shared" si="80"/>
        <v>0</v>
      </c>
    </row>
    <row r="428" spans="2:22" outlineLevel="1">
      <c r="B428" s="1278" t="s">
        <v>1823</v>
      </c>
      <c r="C428" s="1278" t="s">
        <v>1035</v>
      </c>
      <c r="D428" s="1287" t="s">
        <v>1064</v>
      </c>
      <c r="E428" s="1287" t="s">
        <v>1065</v>
      </c>
      <c r="F428" s="1281">
        <v>45425</v>
      </c>
      <c r="G428" s="1338"/>
      <c r="H428" s="1282">
        <f t="shared" si="72"/>
        <v>0</v>
      </c>
      <c r="I428" s="1338"/>
      <c r="J428" s="1282">
        <f t="shared" si="73"/>
        <v>0</v>
      </c>
      <c r="K428" s="1338"/>
      <c r="L428" s="1282">
        <f t="shared" si="74"/>
        <v>0</v>
      </c>
      <c r="M428" s="1338"/>
      <c r="N428" s="1282">
        <f t="shared" si="75"/>
        <v>0</v>
      </c>
      <c r="O428" s="1338"/>
      <c r="P428" s="1282">
        <f t="shared" si="76"/>
        <v>0</v>
      </c>
      <c r="Q428" s="1338"/>
      <c r="R428" s="1282">
        <f t="shared" si="77"/>
        <v>0</v>
      </c>
      <c r="S428" s="1338"/>
      <c r="T428" s="1283">
        <f t="shared" si="78"/>
        <v>0</v>
      </c>
      <c r="U428" s="1284">
        <f t="shared" si="79"/>
        <v>0</v>
      </c>
      <c r="V428" s="1285">
        <f t="shared" si="80"/>
        <v>0</v>
      </c>
    </row>
    <row r="429" spans="2:22" outlineLevel="1">
      <c r="B429" s="1278" t="s">
        <v>1824</v>
      </c>
      <c r="C429" s="1278" t="s">
        <v>1035</v>
      </c>
      <c r="D429" s="1287" t="s">
        <v>1066</v>
      </c>
      <c r="E429" s="1287" t="s">
        <v>1067</v>
      </c>
      <c r="F429" s="1281">
        <v>50165</v>
      </c>
      <c r="G429" s="1338"/>
      <c r="H429" s="1282">
        <f t="shared" si="72"/>
        <v>0</v>
      </c>
      <c r="I429" s="1338"/>
      <c r="J429" s="1282">
        <f t="shared" si="73"/>
        <v>0</v>
      </c>
      <c r="K429" s="1338"/>
      <c r="L429" s="1282">
        <f t="shared" si="74"/>
        <v>0</v>
      </c>
      <c r="M429" s="1338"/>
      <c r="N429" s="1282">
        <f t="shared" si="75"/>
        <v>0</v>
      </c>
      <c r="O429" s="1338"/>
      <c r="P429" s="1282">
        <f t="shared" si="76"/>
        <v>0</v>
      </c>
      <c r="Q429" s="1338"/>
      <c r="R429" s="1282">
        <f t="shared" si="77"/>
        <v>0</v>
      </c>
      <c r="S429" s="1338"/>
      <c r="T429" s="1283">
        <f t="shared" si="78"/>
        <v>0</v>
      </c>
      <c r="U429" s="1284">
        <f t="shared" si="79"/>
        <v>0</v>
      </c>
      <c r="V429" s="1285">
        <f t="shared" si="80"/>
        <v>0</v>
      </c>
    </row>
    <row r="430" spans="2:22" outlineLevel="1">
      <c r="B430" s="1278" t="s">
        <v>1825</v>
      </c>
      <c r="C430" s="1278" t="s">
        <v>1035</v>
      </c>
      <c r="D430" s="1287" t="s">
        <v>1068</v>
      </c>
      <c r="E430" s="1287" t="s">
        <v>1069</v>
      </c>
      <c r="F430" s="1281">
        <v>54905</v>
      </c>
      <c r="G430" s="1338"/>
      <c r="H430" s="1282">
        <f t="shared" si="72"/>
        <v>0</v>
      </c>
      <c r="I430" s="1338"/>
      <c r="J430" s="1282">
        <f t="shared" si="73"/>
        <v>0</v>
      </c>
      <c r="K430" s="1338"/>
      <c r="L430" s="1282">
        <f t="shared" si="74"/>
        <v>0</v>
      </c>
      <c r="M430" s="1338"/>
      <c r="N430" s="1282">
        <f t="shared" si="75"/>
        <v>0</v>
      </c>
      <c r="O430" s="1338"/>
      <c r="P430" s="1282">
        <f t="shared" si="76"/>
        <v>0</v>
      </c>
      <c r="Q430" s="1338"/>
      <c r="R430" s="1282">
        <f t="shared" si="77"/>
        <v>0</v>
      </c>
      <c r="S430" s="1338"/>
      <c r="T430" s="1283">
        <f t="shared" si="78"/>
        <v>0</v>
      </c>
      <c r="U430" s="1284">
        <f t="shared" si="79"/>
        <v>0</v>
      </c>
      <c r="V430" s="1285">
        <f t="shared" si="80"/>
        <v>0</v>
      </c>
    </row>
    <row r="431" spans="2:22" outlineLevel="1">
      <c r="B431" s="1278" t="s">
        <v>1826</v>
      </c>
      <c r="C431" s="1278" t="s">
        <v>1035</v>
      </c>
      <c r="D431" s="1287" t="s">
        <v>1070</v>
      </c>
      <c r="E431" s="1287" t="s">
        <v>1071</v>
      </c>
      <c r="F431" s="1281">
        <v>59645</v>
      </c>
      <c r="G431" s="1338"/>
      <c r="H431" s="1282">
        <f t="shared" si="72"/>
        <v>0</v>
      </c>
      <c r="I431" s="1338"/>
      <c r="J431" s="1282">
        <f t="shared" si="73"/>
        <v>0</v>
      </c>
      <c r="K431" s="1338"/>
      <c r="L431" s="1282">
        <f t="shared" si="74"/>
        <v>0</v>
      </c>
      <c r="M431" s="1338"/>
      <c r="N431" s="1282">
        <f t="shared" si="75"/>
        <v>0</v>
      </c>
      <c r="O431" s="1338"/>
      <c r="P431" s="1282">
        <f t="shared" si="76"/>
        <v>0</v>
      </c>
      <c r="Q431" s="1338"/>
      <c r="R431" s="1282">
        <f t="shared" si="77"/>
        <v>0</v>
      </c>
      <c r="S431" s="1338"/>
      <c r="T431" s="1283">
        <f t="shared" si="78"/>
        <v>0</v>
      </c>
      <c r="U431" s="1284">
        <f t="shared" si="79"/>
        <v>0</v>
      </c>
      <c r="V431" s="1285">
        <f t="shared" si="80"/>
        <v>0</v>
      </c>
    </row>
    <row r="432" spans="2:22" outlineLevel="1">
      <c r="B432" s="1278" t="s">
        <v>1827</v>
      </c>
      <c r="C432" s="1278" t="s">
        <v>1035</v>
      </c>
      <c r="D432" s="1287" t="s">
        <v>1072</v>
      </c>
      <c r="E432" s="1287" t="s">
        <v>1073</v>
      </c>
      <c r="F432" s="1281">
        <v>64385</v>
      </c>
      <c r="G432" s="1338"/>
      <c r="H432" s="1282">
        <f t="shared" si="72"/>
        <v>0</v>
      </c>
      <c r="I432" s="1338"/>
      <c r="J432" s="1282">
        <f t="shared" si="73"/>
        <v>0</v>
      </c>
      <c r="K432" s="1338"/>
      <c r="L432" s="1282">
        <f t="shared" si="74"/>
        <v>0</v>
      </c>
      <c r="M432" s="1338"/>
      <c r="N432" s="1282">
        <f t="shared" si="75"/>
        <v>0</v>
      </c>
      <c r="O432" s="1338"/>
      <c r="P432" s="1282">
        <f t="shared" si="76"/>
        <v>0</v>
      </c>
      <c r="Q432" s="1338"/>
      <c r="R432" s="1282">
        <f t="shared" si="77"/>
        <v>0</v>
      </c>
      <c r="S432" s="1338"/>
      <c r="T432" s="1283">
        <f t="shared" si="78"/>
        <v>0</v>
      </c>
      <c r="U432" s="1284">
        <f t="shared" si="79"/>
        <v>0</v>
      </c>
      <c r="V432" s="1285">
        <f t="shared" si="80"/>
        <v>0</v>
      </c>
    </row>
    <row r="433" spans="2:22" outlineLevel="1">
      <c r="B433" s="1278" t="s">
        <v>1828</v>
      </c>
      <c r="C433" s="1278" t="s">
        <v>1035</v>
      </c>
      <c r="D433" s="1287" t="s">
        <v>1074</v>
      </c>
      <c r="E433" s="1287" t="s">
        <v>1075</v>
      </c>
      <c r="F433" s="1281">
        <v>69125</v>
      </c>
      <c r="G433" s="1338"/>
      <c r="H433" s="1282">
        <f t="shared" si="72"/>
        <v>0</v>
      </c>
      <c r="I433" s="1338"/>
      <c r="J433" s="1282">
        <f t="shared" si="73"/>
        <v>0</v>
      </c>
      <c r="K433" s="1338"/>
      <c r="L433" s="1282">
        <f t="shared" si="74"/>
        <v>0</v>
      </c>
      <c r="M433" s="1338"/>
      <c r="N433" s="1282">
        <f t="shared" si="75"/>
        <v>0</v>
      </c>
      <c r="O433" s="1338"/>
      <c r="P433" s="1282">
        <f t="shared" si="76"/>
        <v>0</v>
      </c>
      <c r="Q433" s="1338"/>
      <c r="R433" s="1282">
        <f t="shared" si="77"/>
        <v>0</v>
      </c>
      <c r="S433" s="1338"/>
      <c r="T433" s="1283">
        <f t="shared" si="78"/>
        <v>0</v>
      </c>
      <c r="U433" s="1284">
        <f t="shared" si="79"/>
        <v>0</v>
      </c>
      <c r="V433" s="1285">
        <f t="shared" si="80"/>
        <v>0</v>
      </c>
    </row>
    <row r="434" spans="2:22" outlineLevel="1">
      <c r="B434" s="1278" t="s">
        <v>1829</v>
      </c>
      <c r="C434" s="1278" t="s">
        <v>1035</v>
      </c>
      <c r="D434" s="1287" t="s">
        <v>1076</v>
      </c>
      <c r="E434" s="1287" t="s">
        <v>1077</v>
      </c>
      <c r="F434" s="1281">
        <v>73865</v>
      </c>
      <c r="G434" s="1338"/>
      <c r="H434" s="1282">
        <f t="shared" si="72"/>
        <v>0</v>
      </c>
      <c r="I434" s="1338"/>
      <c r="J434" s="1282">
        <f t="shared" si="73"/>
        <v>0</v>
      </c>
      <c r="K434" s="1338"/>
      <c r="L434" s="1282">
        <f t="shared" si="74"/>
        <v>0</v>
      </c>
      <c r="M434" s="1338"/>
      <c r="N434" s="1282">
        <f t="shared" si="75"/>
        <v>0</v>
      </c>
      <c r="O434" s="1338"/>
      <c r="P434" s="1282">
        <f t="shared" si="76"/>
        <v>0</v>
      </c>
      <c r="Q434" s="1338"/>
      <c r="R434" s="1282">
        <f t="shared" si="77"/>
        <v>0</v>
      </c>
      <c r="S434" s="1338"/>
      <c r="T434" s="1283">
        <f t="shared" si="78"/>
        <v>0</v>
      </c>
      <c r="U434" s="1284">
        <f t="shared" si="79"/>
        <v>0</v>
      </c>
      <c r="V434" s="1285">
        <f t="shared" si="80"/>
        <v>0</v>
      </c>
    </row>
    <row r="435" spans="2:22" outlineLevel="1">
      <c r="B435" s="1278" t="s">
        <v>1830</v>
      </c>
      <c r="C435" s="1278" t="s">
        <v>1035</v>
      </c>
      <c r="D435" s="1287" t="s">
        <v>1078</v>
      </c>
      <c r="E435" s="1287" t="s">
        <v>1079</v>
      </c>
      <c r="F435" s="1281">
        <v>78605</v>
      </c>
      <c r="G435" s="1338"/>
      <c r="H435" s="1282">
        <f t="shared" si="72"/>
        <v>0</v>
      </c>
      <c r="I435" s="1338"/>
      <c r="J435" s="1282">
        <f t="shared" si="73"/>
        <v>0</v>
      </c>
      <c r="K435" s="1338"/>
      <c r="L435" s="1282">
        <f t="shared" si="74"/>
        <v>0</v>
      </c>
      <c r="M435" s="1338"/>
      <c r="N435" s="1282">
        <f t="shared" si="75"/>
        <v>0</v>
      </c>
      <c r="O435" s="1338"/>
      <c r="P435" s="1282">
        <f t="shared" si="76"/>
        <v>0</v>
      </c>
      <c r="Q435" s="1338"/>
      <c r="R435" s="1282">
        <f t="shared" si="77"/>
        <v>0</v>
      </c>
      <c r="S435" s="1338"/>
      <c r="T435" s="1283">
        <f t="shared" si="78"/>
        <v>0</v>
      </c>
      <c r="U435" s="1284">
        <f t="shared" si="79"/>
        <v>0</v>
      </c>
      <c r="V435" s="1285">
        <f t="shared" si="80"/>
        <v>0</v>
      </c>
    </row>
    <row r="436" spans="2:22" outlineLevel="1">
      <c r="B436" s="1278" t="s">
        <v>1831</v>
      </c>
      <c r="C436" s="1278" t="s">
        <v>1035</v>
      </c>
      <c r="D436" s="1287" t="s">
        <v>1080</v>
      </c>
      <c r="E436" s="1287" t="s">
        <v>1081</v>
      </c>
      <c r="F436" s="1281">
        <v>83345</v>
      </c>
      <c r="G436" s="1338"/>
      <c r="H436" s="1282">
        <f t="shared" si="72"/>
        <v>0</v>
      </c>
      <c r="I436" s="1338"/>
      <c r="J436" s="1282">
        <f t="shared" si="73"/>
        <v>0</v>
      </c>
      <c r="K436" s="1338"/>
      <c r="L436" s="1282">
        <f t="shared" si="74"/>
        <v>0</v>
      </c>
      <c r="M436" s="1338"/>
      <c r="N436" s="1282">
        <f t="shared" si="75"/>
        <v>0</v>
      </c>
      <c r="O436" s="1338"/>
      <c r="P436" s="1282">
        <f t="shared" si="76"/>
        <v>0</v>
      </c>
      <c r="Q436" s="1338"/>
      <c r="R436" s="1282">
        <f t="shared" si="77"/>
        <v>0</v>
      </c>
      <c r="S436" s="1338"/>
      <c r="T436" s="1283">
        <f t="shared" si="78"/>
        <v>0</v>
      </c>
      <c r="U436" s="1284">
        <f t="shared" si="79"/>
        <v>0</v>
      </c>
      <c r="V436" s="1285">
        <f t="shared" si="80"/>
        <v>0</v>
      </c>
    </row>
    <row r="437" spans="2:22" outlineLevel="1">
      <c r="B437" s="1278" t="s">
        <v>1832</v>
      </c>
      <c r="C437" s="1278" t="s">
        <v>1035</v>
      </c>
      <c r="D437" s="1287" t="s">
        <v>1082</v>
      </c>
      <c r="E437" s="1287" t="s">
        <v>1083</v>
      </c>
      <c r="F437" s="1281">
        <v>88085</v>
      </c>
      <c r="G437" s="1338"/>
      <c r="H437" s="1282">
        <f t="shared" si="72"/>
        <v>0</v>
      </c>
      <c r="I437" s="1338"/>
      <c r="J437" s="1282">
        <f t="shared" si="73"/>
        <v>0</v>
      </c>
      <c r="K437" s="1338"/>
      <c r="L437" s="1282">
        <f t="shared" si="74"/>
        <v>0</v>
      </c>
      <c r="M437" s="1338"/>
      <c r="N437" s="1282">
        <f t="shared" si="75"/>
        <v>0</v>
      </c>
      <c r="O437" s="1338"/>
      <c r="P437" s="1282">
        <f t="shared" si="76"/>
        <v>0</v>
      </c>
      <c r="Q437" s="1338"/>
      <c r="R437" s="1282">
        <f t="shared" si="77"/>
        <v>0</v>
      </c>
      <c r="S437" s="1338"/>
      <c r="T437" s="1283">
        <f t="shared" si="78"/>
        <v>0</v>
      </c>
      <c r="U437" s="1284">
        <f t="shared" si="79"/>
        <v>0</v>
      </c>
      <c r="V437" s="1285">
        <f t="shared" si="80"/>
        <v>0</v>
      </c>
    </row>
    <row r="438" spans="2:22" outlineLevel="1">
      <c r="B438" s="1278" t="s">
        <v>1833</v>
      </c>
      <c r="C438" s="1278" t="s">
        <v>1035</v>
      </c>
      <c r="D438" s="1287" t="s">
        <v>1084</v>
      </c>
      <c r="E438" s="1287" t="s">
        <v>1085</v>
      </c>
      <c r="F438" s="1281">
        <v>92825</v>
      </c>
      <c r="G438" s="1338"/>
      <c r="H438" s="1282">
        <f t="shared" si="72"/>
        <v>0</v>
      </c>
      <c r="I438" s="1338"/>
      <c r="J438" s="1282">
        <f t="shared" si="73"/>
        <v>0</v>
      </c>
      <c r="K438" s="1338"/>
      <c r="L438" s="1282">
        <f t="shared" si="74"/>
        <v>0</v>
      </c>
      <c r="M438" s="1338"/>
      <c r="N438" s="1282">
        <f t="shared" si="75"/>
        <v>0</v>
      </c>
      <c r="O438" s="1338"/>
      <c r="P438" s="1282">
        <f t="shared" si="76"/>
        <v>0</v>
      </c>
      <c r="Q438" s="1338"/>
      <c r="R438" s="1282">
        <f t="shared" si="77"/>
        <v>0</v>
      </c>
      <c r="S438" s="1338"/>
      <c r="T438" s="1283">
        <f t="shared" si="78"/>
        <v>0</v>
      </c>
      <c r="U438" s="1284">
        <f t="shared" si="79"/>
        <v>0</v>
      </c>
      <c r="V438" s="1285">
        <f t="shared" si="80"/>
        <v>0</v>
      </c>
    </row>
    <row r="439" spans="2:22" outlineLevel="1">
      <c r="B439" s="1278" t="s">
        <v>1834</v>
      </c>
      <c r="C439" s="1278" t="s">
        <v>1035</v>
      </c>
      <c r="D439" s="1287" t="s">
        <v>1086</v>
      </c>
      <c r="E439" s="1287" t="s">
        <v>1087</v>
      </c>
      <c r="F439" s="1281">
        <v>97565</v>
      </c>
      <c r="G439" s="1338"/>
      <c r="H439" s="1282">
        <f t="shared" si="72"/>
        <v>0</v>
      </c>
      <c r="I439" s="1338"/>
      <c r="J439" s="1282">
        <f t="shared" si="73"/>
        <v>0</v>
      </c>
      <c r="K439" s="1338"/>
      <c r="L439" s="1282">
        <f t="shared" si="74"/>
        <v>0</v>
      </c>
      <c r="M439" s="1338"/>
      <c r="N439" s="1282">
        <f t="shared" si="75"/>
        <v>0</v>
      </c>
      <c r="O439" s="1338"/>
      <c r="P439" s="1282">
        <f t="shared" si="76"/>
        <v>0</v>
      </c>
      <c r="Q439" s="1338"/>
      <c r="R439" s="1282">
        <f t="shared" si="77"/>
        <v>0</v>
      </c>
      <c r="S439" s="1338"/>
      <c r="T439" s="1283">
        <f t="shared" si="78"/>
        <v>0</v>
      </c>
      <c r="U439" s="1284">
        <f t="shared" si="79"/>
        <v>0</v>
      </c>
      <c r="V439" s="1285">
        <f t="shared" si="80"/>
        <v>0</v>
      </c>
    </row>
    <row r="440" spans="2:22" outlineLevel="1">
      <c r="B440" s="1278" t="s">
        <v>1835</v>
      </c>
      <c r="C440" s="1278" t="s">
        <v>1035</v>
      </c>
      <c r="D440" s="1287" t="s">
        <v>1088</v>
      </c>
      <c r="E440" s="1287" t="s">
        <v>1089</v>
      </c>
      <c r="F440" s="1281">
        <v>102700</v>
      </c>
      <c r="G440" s="1338"/>
      <c r="H440" s="1282">
        <f t="shared" si="72"/>
        <v>0</v>
      </c>
      <c r="I440" s="1338"/>
      <c r="J440" s="1282">
        <f t="shared" si="73"/>
        <v>0</v>
      </c>
      <c r="K440" s="1338"/>
      <c r="L440" s="1282">
        <f t="shared" si="74"/>
        <v>0</v>
      </c>
      <c r="M440" s="1338"/>
      <c r="N440" s="1282">
        <f t="shared" si="75"/>
        <v>0</v>
      </c>
      <c r="O440" s="1338"/>
      <c r="P440" s="1282">
        <f t="shared" si="76"/>
        <v>0</v>
      </c>
      <c r="Q440" s="1338"/>
      <c r="R440" s="1282">
        <f t="shared" si="77"/>
        <v>0</v>
      </c>
      <c r="S440" s="1338"/>
      <c r="T440" s="1283">
        <f t="shared" si="78"/>
        <v>0</v>
      </c>
      <c r="U440" s="1284">
        <f t="shared" si="79"/>
        <v>0</v>
      </c>
      <c r="V440" s="1285">
        <f t="shared" si="80"/>
        <v>0</v>
      </c>
    </row>
    <row r="441" spans="2:22">
      <c r="B441" s="1312" t="s">
        <v>1836</v>
      </c>
      <c r="C441" s="1254" t="s">
        <v>1090</v>
      </c>
      <c r="D441" s="1254"/>
      <c r="E441" s="1255"/>
      <c r="F441" s="1302"/>
      <c r="G441" s="1339"/>
      <c r="H441" s="1296"/>
      <c r="I441" s="1339"/>
      <c r="J441" s="1296"/>
      <c r="K441" s="1339"/>
      <c r="L441" s="1296"/>
      <c r="M441" s="1339"/>
      <c r="N441" s="1296"/>
      <c r="O441" s="1339"/>
      <c r="P441" s="1296"/>
      <c r="Q441" s="1339"/>
      <c r="R441" s="1296"/>
      <c r="S441" s="1339"/>
      <c r="T441" s="1296"/>
      <c r="U441" s="1297"/>
      <c r="V441" s="1298"/>
    </row>
    <row r="442" spans="2:22" outlineLevel="1">
      <c r="B442" s="1278" t="s">
        <v>1837</v>
      </c>
      <c r="C442" s="1278" t="s">
        <v>1090</v>
      </c>
      <c r="D442" s="1287" t="s">
        <v>1091</v>
      </c>
      <c r="E442" s="1287" t="s">
        <v>1092</v>
      </c>
      <c r="F442" s="1281">
        <v>790</v>
      </c>
      <c r="G442" s="1338"/>
      <c r="H442" s="1282">
        <f t="shared" si="72"/>
        <v>0</v>
      </c>
      <c r="I442" s="1338"/>
      <c r="J442" s="1282">
        <f t="shared" si="73"/>
        <v>0</v>
      </c>
      <c r="K442" s="1338"/>
      <c r="L442" s="1282">
        <f t="shared" si="74"/>
        <v>0</v>
      </c>
      <c r="M442" s="1338"/>
      <c r="N442" s="1282">
        <f t="shared" si="75"/>
        <v>0</v>
      </c>
      <c r="O442" s="1338"/>
      <c r="P442" s="1282">
        <f t="shared" si="76"/>
        <v>0</v>
      </c>
      <c r="Q442" s="1338"/>
      <c r="R442" s="1282">
        <f t="shared" si="77"/>
        <v>0</v>
      </c>
      <c r="S442" s="1338"/>
      <c r="T442" s="1283">
        <f t="shared" si="78"/>
        <v>0</v>
      </c>
      <c r="U442" s="1284">
        <f t="shared" si="79"/>
        <v>0</v>
      </c>
      <c r="V442" s="1285">
        <f t="shared" si="80"/>
        <v>0</v>
      </c>
    </row>
    <row r="443" spans="2:22" outlineLevel="1">
      <c r="B443" s="1278" t="s">
        <v>1838</v>
      </c>
      <c r="C443" s="1278" t="s">
        <v>1090</v>
      </c>
      <c r="D443" s="1287" t="s">
        <v>1093</v>
      </c>
      <c r="E443" s="1287" t="s">
        <v>1094</v>
      </c>
      <c r="F443" s="1281">
        <v>1580</v>
      </c>
      <c r="G443" s="1338"/>
      <c r="H443" s="1282">
        <f t="shared" si="72"/>
        <v>0</v>
      </c>
      <c r="I443" s="1338"/>
      <c r="J443" s="1282">
        <f t="shared" si="73"/>
        <v>0</v>
      </c>
      <c r="K443" s="1338"/>
      <c r="L443" s="1282">
        <f t="shared" si="74"/>
        <v>0</v>
      </c>
      <c r="M443" s="1338"/>
      <c r="N443" s="1282">
        <f t="shared" si="75"/>
        <v>0</v>
      </c>
      <c r="O443" s="1338"/>
      <c r="P443" s="1282">
        <f t="shared" si="76"/>
        <v>0</v>
      </c>
      <c r="Q443" s="1338"/>
      <c r="R443" s="1282">
        <f t="shared" si="77"/>
        <v>0</v>
      </c>
      <c r="S443" s="1338"/>
      <c r="T443" s="1283">
        <f t="shared" si="78"/>
        <v>0</v>
      </c>
      <c r="U443" s="1284">
        <f t="shared" si="79"/>
        <v>0</v>
      </c>
      <c r="V443" s="1285">
        <f t="shared" si="80"/>
        <v>0</v>
      </c>
    </row>
    <row r="444" spans="2:22" outlineLevel="1">
      <c r="B444" s="1278" t="s">
        <v>1839</v>
      </c>
      <c r="C444" s="1278" t="s">
        <v>1090</v>
      </c>
      <c r="D444" s="1287" t="s">
        <v>1095</v>
      </c>
      <c r="E444" s="1287" t="s">
        <v>1096</v>
      </c>
      <c r="F444" s="1281">
        <v>2370</v>
      </c>
      <c r="G444" s="1338"/>
      <c r="H444" s="1282">
        <f t="shared" si="72"/>
        <v>0</v>
      </c>
      <c r="I444" s="1338"/>
      <c r="J444" s="1282">
        <f t="shared" si="73"/>
        <v>0</v>
      </c>
      <c r="K444" s="1338"/>
      <c r="L444" s="1282">
        <f t="shared" si="74"/>
        <v>0</v>
      </c>
      <c r="M444" s="1338"/>
      <c r="N444" s="1282">
        <f t="shared" si="75"/>
        <v>0</v>
      </c>
      <c r="O444" s="1338"/>
      <c r="P444" s="1282">
        <f t="shared" si="76"/>
        <v>0</v>
      </c>
      <c r="Q444" s="1338"/>
      <c r="R444" s="1282">
        <f t="shared" si="77"/>
        <v>0</v>
      </c>
      <c r="S444" s="1338"/>
      <c r="T444" s="1283">
        <f t="shared" si="78"/>
        <v>0</v>
      </c>
      <c r="U444" s="1284">
        <f t="shared" si="79"/>
        <v>0</v>
      </c>
      <c r="V444" s="1285">
        <f t="shared" si="80"/>
        <v>0</v>
      </c>
    </row>
    <row r="445" spans="2:22" outlineLevel="1">
      <c r="B445" s="1278" t="s">
        <v>1840</v>
      </c>
      <c r="C445" s="1278" t="s">
        <v>1090</v>
      </c>
      <c r="D445" s="1287" t="s">
        <v>1097</v>
      </c>
      <c r="E445" s="1287" t="s">
        <v>1098</v>
      </c>
      <c r="F445" s="1281">
        <v>3160</v>
      </c>
      <c r="G445" s="1338"/>
      <c r="H445" s="1282">
        <f t="shared" si="72"/>
        <v>0</v>
      </c>
      <c r="I445" s="1338"/>
      <c r="J445" s="1282">
        <f t="shared" si="73"/>
        <v>0</v>
      </c>
      <c r="K445" s="1338"/>
      <c r="L445" s="1282">
        <f t="shared" si="74"/>
        <v>0</v>
      </c>
      <c r="M445" s="1338"/>
      <c r="N445" s="1282">
        <f t="shared" si="75"/>
        <v>0</v>
      </c>
      <c r="O445" s="1338"/>
      <c r="P445" s="1282">
        <f t="shared" si="76"/>
        <v>0</v>
      </c>
      <c r="Q445" s="1338"/>
      <c r="R445" s="1282">
        <f t="shared" si="77"/>
        <v>0</v>
      </c>
      <c r="S445" s="1338"/>
      <c r="T445" s="1283">
        <f t="shared" si="78"/>
        <v>0</v>
      </c>
      <c r="U445" s="1284">
        <f t="shared" si="79"/>
        <v>0</v>
      </c>
      <c r="V445" s="1285">
        <f t="shared" si="80"/>
        <v>0</v>
      </c>
    </row>
    <row r="446" spans="2:22" outlineLevel="1">
      <c r="B446" s="1278" t="s">
        <v>1841</v>
      </c>
      <c r="C446" s="1278" t="s">
        <v>1090</v>
      </c>
      <c r="D446" s="1287" t="s">
        <v>1099</v>
      </c>
      <c r="E446" s="1287" t="s">
        <v>1100</v>
      </c>
      <c r="F446" s="1281">
        <v>3950</v>
      </c>
      <c r="G446" s="1338"/>
      <c r="H446" s="1282">
        <f t="shared" si="72"/>
        <v>0</v>
      </c>
      <c r="I446" s="1338"/>
      <c r="J446" s="1282">
        <f t="shared" si="73"/>
        <v>0</v>
      </c>
      <c r="K446" s="1338"/>
      <c r="L446" s="1282">
        <f t="shared" si="74"/>
        <v>0</v>
      </c>
      <c r="M446" s="1338"/>
      <c r="N446" s="1282">
        <f t="shared" si="75"/>
        <v>0</v>
      </c>
      <c r="O446" s="1338"/>
      <c r="P446" s="1282">
        <f t="shared" si="76"/>
        <v>0</v>
      </c>
      <c r="Q446" s="1338"/>
      <c r="R446" s="1282">
        <f t="shared" si="77"/>
        <v>0</v>
      </c>
      <c r="S446" s="1338"/>
      <c r="T446" s="1283">
        <f t="shared" si="78"/>
        <v>0</v>
      </c>
      <c r="U446" s="1284">
        <f t="shared" si="79"/>
        <v>0</v>
      </c>
      <c r="V446" s="1285">
        <f t="shared" si="80"/>
        <v>0</v>
      </c>
    </row>
    <row r="447" spans="2:22" outlineLevel="1">
      <c r="B447" s="1278" t="s">
        <v>1842</v>
      </c>
      <c r="C447" s="1278" t="s">
        <v>1090</v>
      </c>
      <c r="D447" s="1287" t="s">
        <v>1101</v>
      </c>
      <c r="E447" s="1287" t="s">
        <v>1102</v>
      </c>
      <c r="F447" s="1281">
        <v>5530</v>
      </c>
      <c r="G447" s="1338"/>
      <c r="H447" s="1282">
        <f t="shared" ref="H447:H510" si="81">F447*G447</f>
        <v>0</v>
      </c>
      <c r="I447" s="1338"/>
      <c r="J447" s="1282">
        <f t="shared" si="73"/>
        <v>0</v>
      </c>
      <c r="K447" s="1338"/>
      <c r="L447" s="1282">
        <f t="shared" si="74"/>
        <v>0</v>
      </c>
      <c r="M447" s="1338"/>
      <c r="N447" s="1282">
        <f t="shared" si="75"/>
        <v>0</v>
      </c>
      <c r="O447" s="1338"/>
      <c r="P447" s="1282">
        <f t="shared" si="76"/>
        <v>0</v>
      </c>
      <c r="Q447" s="1338"/>
      <c r="R447" s="1282">
        <f t="shared" si="77"/>
        <v>0</v>
      </c>
      <c r="S447" s="1338"/>
      <c r="T447" s="1283">
        <f t="shared" si="78"/>
        <v>0</v>
      </c>
      <c r="U447" s="1284">
        <f t="shared" si="79"/>
        <v>0</v>
      </c>
      <c r="V447" s="1285">
        <f t="shared" si="80"/>
        <v>0</v>
      </c>
    </row>
    <row r="448" spans="2:22" outlineLevel="1">
      <c r="B448" s="1278" t="s">
        <v>1843</v>
      </c>
      <c r="C448" s="1278" t="s">
        <v>1090</v>
      </c>
      <c r="D448" s="1287" t="s">
        <v>1103</v>
      </c>
      <c r="E448" s="1287" t="s">
        <v>1104</v>
      </c>
      <c r="F448" s="1281">
        <v>8295</v>
      </c>
      <c r="G448" s="1338"/>
      <c r="H448" s="1282">
        <f t="shared" si="81"/>
        <v>0</v>
      </c>
      <c r="I448" s="1338"/>
      <c r="J448" s="1282">
        <f t="shared" ref="J448:J511" si="82">F448*I448</f>
        <v>0</v>
      </c>
      <c r="K448" s="1338"/>
      <c r="L448" s="1282">
        <f t="shared" ref="L448:L511" si="83">F448*K448</f>
        <v>0</v>
      </c>
      <c r="M448" s="1338"/>
      <c r="N448" s="1282">
        <f t="shared" ref="N448:N511" si="84">F448*M448</f>
        <v>0</v>
      </c>
      <c r="O448" s="1338"/>
      <c r="P448" s="1282">
        <f t="shared" ref="P448:P511" si="85">F448*O448</f>
        <v>0</v>
      </c>
      <c r="Q448" s="1338"/>
      <c r="R448" s="1282">
        <f t="shared" ref="R448:R511" si="86">F448*Q448</f>
        <v>0</v>
      </c>
      <c r="S448" s="1338"/>
      <c r="T448" s="1283">
        <f t="shared" ref="T448:T511" si="87">F448*S448</f>
        <v>0</v>
      </c>
      <c r="U448" s="1284">
        <f t="shared" si="79"/>
        <v>0</v>
      </c>
      <c r="V448" s="1285">
        <f t="shared" si="80"/>
        <v>0</v>
      </c>
    </row>
    <row r="449" spans="2:22" outlineLevel="1">
      <c r="B449" s="1278" t="s">
        <v>1844</v>
      </c>
      <c r="C449" s="1278" t="s">
        <v>1090</v>
      </c>
      <c r="D449" s="1287" t="s">
        <v>1105</v>
      </c>
      <c r="E449" s="1287" t="s">
        <v>1106</v>
      </c>
      <c r="F449" s="1281">
        <v>11060</v>
      </c>
      <c r="G449" s="1338"/>
      <c r="H449" s="1282">
        <f t="shared" si="81"/>
        <v>0</v>
      </c>
      <c r="I449" s="1338"/>
      <c r="J449" s="1282">
        <f t="shared" si="82"/>
        <v>0</v>
      </c>
      <c r="K449" s="1338"/>
      <c r="L449" s="1282">
        <f t="shared" si="83"/>
        <v>0</v>
      </c>
      <c r="M449" s="1338"/>
      <c r="N449" s="1282">
        <f t="shared" si="84"/>
        <v>0</v>
      </c>
      <c r="O449" s="1338"/>
      <c r="P449" s="1282">
        <f t="shared" si="85"/>
        <v>0</v>
      </c>
      <c r="Q449" s="1338"/>
      <c r="R449" s="1282">
        <f t="shared" si="86"/>
        <v>0</v>
      </c>
      <c r="S449" s="1338"/>
      <c r="T449" s="1283">
        <f t="shared" si="87"/>
        <v>0</v>
      </c>
      <c r="U449" s="1284">
        <f t="shared" si="79"/>
        <v>0</v>
      </c>
      <c r="V449" s="1285">
        <f t="shared" si="80"/>
        <v>0</v>
      </c>
    </row>
    <row r="450" spans="2:22" outlineLevel="1">
      <c r="B450" s="1278" t="s">
        <v>1845</v>
      </c>
      <c r="C450" s="1278" t="s">
        <v>1090</v>
      </c>
      <c r="D450" s="1287" t="s">
        <v>1107</v>
      </c>
      <c r="E450" s="1287" t="s">
        <v>1108</v>
      </c>
      <c r="F450" s="1281">
        <v>13430</v>
      </c>
      <c r="G450" s="1338"/>
      <c r="H450" s="1282">
        <f t="shared" si="81"/>
        <v>0</v>
      </c>
      <c r="I450" s="1338"/>
      <c r="J450" s="1282">
        <f t="shared" si="82"/>
        <v>0</v>
      </c>
      <c r="K450" s="1338"/>
      <c r="L450" s="1282">
        <f t="shared" si="83"/>
        <v>0</v>
      </c>
      <c r="M450" s="1338"/>
      <c r="N450" s="1282">
        <f t="shared" si="84"/>
        <v>0</v>
      </c>
      <c r="O450" s="1338"/>
      <c r="P450" s="1282">
        <f t="shared" si="85"/>
        <v>0</v>
      </c>
      <c r="Q450" s="1338"/>
      <c r="R450" s="1282">
        <f t="shared" si="86"/>
        <v>0</v>
      </c>
      <c r="S450" s="1338"/>
      <c r="T450" s="1283">
        <f t="shared" si="87"/>
        <v>0</v>
      </c>
      <c r="U450" s="1284">
        <f t="shared" si="79"/>
        <v>0</v>
      </c>
      <c r="V450" s="1285">
        <f t="shared" si="80"/>
        <v>0</v>
      </c>
    </row>
    <row r="451" spans="2:22" outlineLevel="1">
      <c r="B451" s="1278" t="s">
        <v>1846</v>
      </c>
      <c r="C451" s="1278" t="s">
        <v>1090</v>
      </c>
      <c r="D451" s="1287" t="s">
        <v>1109</v>
      </c>
      <c r="E451" s="1287" t="s">
        <v>1110</v>
      </c>
      <c r="F451" s="1281">
        <v>15800</v>
      </c>
      <c r="G451" s="1338"/>
      <c r="H451" s="1282">
        <f t="shared" si="81"/>
        <v>0</v>
      </c>
      <c r="I451" s="1338"/>
      <c r="J451" s="1282">
        <f t="shared" si="82"/>
        <v>0</v>
      </c>
      <c r="K451" s="1338"/>
      <c r="L451" s="1282">
        <f t="shared" si="83"/>
        <v>0</v>
      </c>
      <c r="M451" s="1338"/>
      <c r="N451" s="1282">
        <f t="shared" si="84"/>
        <v>0</v>
      </c>
      <c r="O451" s="1338"/>
      <c r="P451" s="1282">
        <f t="shared" si="85"/>
        <v>0</v>
      </c>
      <c r="Q451" s="1338"/>
      <c r="R451" s="1282">
        <f t="shared" si="86"/>
        <v>0</v>
      </c>
      <c r="S451" s="1338"/>
      <c r="T451" s="1283">
        <f t="shared" si="87"/>
        <v>0</v>
      </c>
      <c r="U451" s="1284">
        <f t="shared" si="79"/>
        <v>0</v>
      </c>
      <c r="V451" s="1285">
        <f t="shared" si="80"/>
        <v>0</v>
      </c>
    </row>
    <row r="452" spans="2:22" outlineLevel="1">
      <c r="B452" s="1278" t="s">
        <v>1847</v>
      </c>
      <c r="C452" s="1278" t="s">
        <v>1090</v>
      </c>
      <c r="D452" s="1287" t="s">
        <v>1111</v>
      </c>
      <c r="E452" s="1287" t="s">
        <v>1112</v>
      </c>
      <c r="F452" s="1281">
        <v>18170</v>
      </c>
      <c r="G452" s="1338"/>
      <c r="H452" s="1282">
        <f t="shared" si="81"/>
        <v>0</v>
      </c>
      <c r="I452" s="1338"/>
      <c r="J452" s="1282">
        <f t="shared" si="82"/>
        <v>0</v>
      </c>
      <c r="K452" s="1338"/>
      <c r="L452" s="1282">
        <f t="shared" si="83"/>
        <v>0</v>
      </c>
      <c r="M452" s="1338"/>
      <c r="N452" s="1282">
        <f t="shared" si="84"/>
        <v>0</v>
      </c>
      <c r="O452" s="1338"/>
      <c r="P452" s="1282">
        <f t="shared" si="85"/>
        <v>0</v>
      </c>
      <c r="Q452" s="1338"/>
      <c r="R452" s="1282">
        <f t="shared" si="86"/>
        <v>0</v>
      </c>
      <c r="S452" s="1338"/>
      <c r="T452" s="1283">
        <f t="shared" si="87"/>
        <v>0</v>
      </c>
      <c r="U452" s="1284">
        <f t="shared" si="79"/>
        <v>0</v>
      </c>
      <c r="V452" s="1285">
        <f t="shared" si="80"/>
        <v>0</v>
      </c>
    </row>
    <row r="453" spans="2:22" outlineLevel="1">
      <c r="B453" s="1278" t="s">
        <v>1848</v>
      </c>
      <c r="C453" s="1278" t="s">
        <v>1090</v>
      </c>
      <c r="D453" s="1287" t="s">
        <v>1113</v>
      </c>
      <c r="E453" s="1287" t="s">
        <v>1114</v>
      </c>
      <c r="F453" s="1281">
        <v>20540</v>
      </c>
      <c r="G453" s="1338"/>
      <c r="H453" s="1282">
        <f t="shared" si="81"/>
        <v>0</v>
      </c>
      <c r="I453" s="1338"/>
      <c r="J453" s="1282">
        <f t="shared" si="82"/>
        <v>0</v>
      </c>
      <c r="K453" s="1338"/>
      <c r="L453" s="1282">
        <f t="shared" si="83"/>
        <v>0</v>
      </c>
      <c r="M453" s="1338"/>
      <c r="N453" s="1282">
        <f t="shared" si="84"/>
        <v>0</v>
      </c>
      <c r="O453" s="1338"/>
      <c r="P453" s="1282">
        <f t="shared" si="85"/>
        <v>0</v>
      </c>
      <c r="Q453" s="1338"/>
      <c r="R453" s="1282">
        <f t="shared" si="86"/>
        <v>0</v>
      </c>
      <c r="S453" s="1338"/>
      <c r="T453" s="1283">
        <f t="shared" si="87"/>
        <v>0</v>
      </c>
      <c r="U453" s="1284">
        <f t="shared" si="79"/>
        <v>0</v>
      </c>
      <c r="V453" s="1285">
        <f t="shared" si="80"/>
        <v>0</v>
      </c>
    </row>
    <row r="454" spans="2:22" outlineLevel="1">
      <c r="B454" s="1278" t="s">
        <v>1849</v>
      </c>
      <c r="C454" s="1278" t="s">
        <v>1090</v>
      </c>
      <c r="D454" s="1287" t="s">
        <v>1115</v>
      </c>
      <c r="E454" s="1287" t="s">
        <v>1116</v>
      </c>
      <c r="F454" s="1281">
        <v>22910</v>
      </c>
      <c r="G454" s="1338"/>
      <c r="H454" s="1282">
        <f t="shared" si="81"/>
        <v>0</v>
      </c>
      <c r="I454" s="1338"/>
      <c r="J454" s="1282">
        <f t="shared" si="82"/>
        <v>0</v>
      </c>
      <c r="K454" s="1338"/>
      <c r="L454" s="1282">
        <f t="shared" si="83"/>
        <v>0</v>
      </c>
      <c r="M454" s="1338"/>
      <c r="N454" s="1282">
        <f t="shared" si="84"/>
        <v>0</v>
      </c>
      <c r="O454" s="1338"/>
      <c r="P454" s="1282">
        <f t="shared" si="85"/>
        <v>0</v>
      </c>
      <c r="Q454" s="1338"/>
      <c r="R454" s="1282">
        <f t="shared" si="86"/>
        <v>0</v>
      </c>
      <c r="S454" s="1338"/>
      <c r="T454" s="1283">
        <f t="shared" si="87"/>
        <v>0</v>
      </c>
      <c r="U454" s="1284">
        <f t="shared" si="79"/>
        <v>0</v>
      </c>
      <c r="V454" s="1285">
        <f t="shared" si="80"/>
        <v>0</v>
      </c>
    </row>
    <row r="455" spans="2:22" outlineLevel="1">
      <c r="B455" s="1278" t="s">
        <v>1850</v>
      </c>
      <c r="C455" s="1278" t="s">
        <v>1090</v>
      </c>
      <c r="D455" s="1287" t="s">
        <v>1117</v>
      </c>
      <c r="E455" s="1287" t="s">
        <v>1118</v>
      </c>
      <c r="F455" s="1281">
        <v>26465</v>
      </c>
      <c r="G455" s="1338"/>
      <c r="H455" s="1282">
        <f t="shared" si="81"/>
        <v>0</v>
      </c>
      <c r="I455" s="1338"/>
      <c r="J455" s="1282">
        <f t="shared" si="82"/>
        <v>0</v>
      </c>
      <c r="K455" s="1338"/>
      <c r="L455" s="1282">
        <f t="shared" si="83"/>
        <v>0</v>
      </c>
      <c r="M455" s="1338"/>
      <c r="N455" s="1282">
        <f t="shared" si="84"/>
        <v>0</v>
      </c>
      <c r="O455" s="1338"/>
      <c r="P455" s="1282">
        <f t="shared" si="85"/>
        <v>0</v>
      </c>
      <c r="Q455" s="1338"/>
      <c r="R455" s="1282">
        <f t="shared" si="86"/>
        <v>0</v>
      </c>
      <c r="S455" s="1338"/>
      <c r="T455" s="1283">
        <f t="shared" si="87"/>
        <v>0</v>
      </c>
      <c r="U455" s="1284">
        <f t="shared" si="79"/>
        <v>0</v>
      </c>
      <c r="V455" s="1285">
        <f t="shared" si="80"/>
        <v>0</v>
      </c>
    </row>
    <row r="456" spans="2:22" outlineLevel="1">
      <c r="B456" s="1278" t="s">
        <v>1851</v>
      </c>
      <c r="C456" s="1278" t="s">
        <v>1090</v>
      </c>
      <c r="D456" s="1287" t="s">
        <v>1119</v>
      </c>
      <c r="E456" s="1287" t="s">
        <v>1120</v>
      </c>
      <c r="F456" s="1281">
        <v>31205</v>
      </c>
      <c r="G456" s="1338"/>
      <c r="H456" s="1282">
        <f t="shared" si="81"/>
        <v>0</v>
      </c>
      <c r="I456" s="1338"/>
      <c r="J456" s="1282">
        <f t="shared" si="82"/>
        <v>0</v>
      </c>
      <c r="K456" s="1338"/>
      <c r="L456" s="1282">
        <f t="shared" si="83"/>
        <v>0</v>
      </c>
      <c r="M456" s="1338"/>
      <c r="N456" s="1282">
        <f t="shared" si="84"/>
        <v>0</v>
      </c>
      <c r="O456" s="1338"/>
      <c r="P456" s="1282">
        <f t="shared" si="85"/>
        <v>0</v>
      </c>
      <c r="Q456" s="1338"/>
      <c r="R456" s="1282">
        <f t="shared" si="86"/>
        <v>0</v>
      </c>
      <c r="S456" s="1338"/>
      <c r="T456" s="1283">
        <f t="shared" si="87"/>
        <v>0</v>
      </c>
      <c r="U456" s="1284">
        <f t="shared" si="79"/>
        <v>0</v>
      </c>
      <c r="V456" s="1285">
        <f t="shared" si="80"/>
        <v>0</v>
      </c>
    </row>
    <row r="457" spans="2:22" outlineLevel="1">
      <c r="B457" s="1278" t="s">
        <v>1852</v>
      </c>
      <c r="C457" s="1278" t="s">
        <v>1090</v>
      </c>
      <c r="D457" s="1287" t="s">
        <v>1121</v>
      </c>
      <c r="E457" s="1287" t="s">
        <v>1122</v>
      </c>
      <c r="F457" s="1281">
        <v>35945</v>
      </c>
      <c r="G457" s="1338"/>
      <c r="H457" s="1282">
        <f t="shared" si="81"/>
        <v>0</v>
      </c>
      <c r="I457" s="1338"/>
      <c r="J457" s="1282">
        <f t="shared" si="82"/>
        <v>0</v>
      </c>
      <c r="K457" s="1338"/>
      <c r="L457" s="1282">
        <f t="shared" si="83"/>
        <v>0</v>
      </c>
      <c r="M457" s="1338"/>
      <c r="N457" s="1282">
        <f t="shared" si="84"/>
        <v>0</v>
      </c>
      <c r="O457" s="1338"/>
      <c r="P457" s="1282">
        <f t="shared" si="85"/>
        <v>0</v>
      </c>
      <c r="Q457" s="1338"/>
      <c r="R457" s="1282">
        <f t="shared" si="86"/>
        <v>0</v>
      </c>
      <c r="S457" s="1338"/>
      <c r="T457" s="1283">
        <f t="shared" si="87"/>
        <v>0</v>
      </c>
      <c r="U457" s="1284">
        <f t="shared" si="79"/>
        <v>0</v>
      </c>
      <c r="V457" s="1285">
        <f t="shared" si="80"/>
        <v>0</v>
      </c>
    </row>
    <row r="458" spans="2:22" outlineLevel="1">
      <c r="B458" s="1278" t="s">
        <v>1853</v>
      </c>
      <c r="C458" s="1278" t="s">
        <v>1090</v>
      </c>
      <c r="D458" s="1287" t="s">
        <v>1123</v>
      </c>
      <c r="E458" s="1287" t="s">
        <v>1124</v>
      </c>
      <c r="F458" s="1281">
        <v>40685</v>
      </c>
      <c r="G458" s="1338"/>
      <c r="H458" s="1282">
        <f t="shared" si="81"/>
        <v>0</v>
      </c>
      <c r="I458" s="1338"/>
      <c r="J458" s="1282">
        <f t="shared" si="82"/>
        <v>0</v>
      </c>
      <c r="K458" s="1338"/>
      <c r="L458" s="1282">
        <f t="shared" si="83"/>
        <v>0</v>
      </c>
      <c r="M458" s="1338"/>
      <c r="N458" s="1282">
        <f t="shared" si="84"/>
        <v>0</v>
      </c>
      <c r="O458" s="1338"/>
      <c r="P458" s="1282">
        <f t="shared" si="85"/>
        <v>0</v>
      </c>
      <c r="Q458" s="1338"/>
      <c r="R458" s="1282">
        <f t="shared" si="86"/>
        <v>0</v>
      </c>
      <c r="S458" s="1338"/>
      <c r="T458" s="1283">
        <f t="shared" si="87"/>
        <v>0</v>
      </c>
      <c r="U458" s="1284">
        <f t="shared" si="79"/>
        <v>0</v>
      </c>
      <c r="V458" s="1285">
        <f t="shared" si="80"/>
        <v>0</v>
      </c>
    </row>
    <row r="459" spans="2:22" outlineLevel="1">
      <c r="B459" s="1278" t="s">
        <v>1854</v>
      </c>
      <c r="C459" s="1278" t="s">
        <v>1090</v>
      </c>
      <c r="D459" s="1287" t="s">
        <v>1125</v>
      </c>
      <c r="E459" s="1287" t="s">
        <v>1126</v>
      </c>
      <c r="F459" s="1281">
        <v>45425</v>
      </c>
      <c r="G459" s="1338"/>
      <c r="H459" s="1282">
        <f t="shared" si="81"/>
        <v>0</v>
      </c>
      <c r="I459" s="1338"/>
      <c r="J459" s="1282">
        <f t="shared" si="82"/>
        <v>0</v>
      </c>
      <c r="K459" s="1338"/>
      <c r="L459" s="1282">
        <f t="shared" si="83"/>
        <v>0</v>
      </c>
      <c r="M459" s="1338"/>
      <c r="N459" s="1282">
        <f t="shared" si="84"/>
        <v>0</v>
      </c>
      <c r="O459" s="1338"/>
      <c r="P459" s="1282">
        <f t="shared" si="85"/>
        <v>0</v>
      </c>
      <c r="Q459" s="1338"/>
      <c r="R459" s="1282">
        <f t="shared" si="86"/>
        <v>0</v>
      </c>
      <c r="S459" s="1338"/>
      <c r="T459" s="1283">
        <f t="shared" si="87"/>
        <v>0</v>
      </c>
      <c r="U459" s="1284">
        <f t="shared" si="79"/>
        <v>0</v>
      </c>
      <c r="V459" s="1285">
        <f t="shared" si="80"/>
        <v>0</v>
      </c>
    </row>
    <row r="460" spans="2:22" outlineLevel="1">
      <c r="B460" s="1278" t="s">
        <v>1855</v>
      </c>
      <c r="C460" s="1278" t="s">
        <v>1090</v>
      </c>
      <c r="D460" s="1287" t="s">
        <v>1127</v>
      </c>
      <c r="E460" s="1287" t="s">
        <v>1128</v>
      </c>
      <c r="F460" s="1281">
        <v>50165</v>
      </c>
      <c r="G460" s="1338"/>
      <c r="H460" s="1282">
        <f t="shared" si="81"/>
        <v>0</v>
      </c>
      <c r="I460" s="1338"/>
      <c r="J460" s="1282">
        <f t="shared" si="82"/>
        <v>0</v>
      </c>
      <c r="K460" s="1338"/>
      <c r="L460" s="1282">
        <f t="shared" si="83"/>
        <v>0</v>
      </c>
      <c r="M460" s="1338"/>
      <c r="N460" s="1282">
        <f t="shared" si="84"/>
        <v>0</v>
      </c>
      <c r="O460" s="1338"/>
      <c r="P460" s="1282">
        <f t="shared" si="85"/>
        <v>0</v>
      </c>
      <c r="Q460" s="1338"/>
      <c r="R460" s="1282">
        <f t="shared" si="86"/>
        <v>0</v>
      </c>
      <c r="S460" s="1338"/>
      <c r="T460" s="1283">
        <f t="shared" si="87"/>
        <v>0</v>
      </c>
      <c r="U460" s="1284">
        <f t="shared" si="79"/>
        <v>0</v>
      </c>
      <c r="V460" s="1285">
        <f t="shared" si="80"/>
        <v>0</v>
      </c>
    </row>
    <row r="461" spans="2:22" outlineLevel="1">
      <c r="B461" s="1278" t="s">
        <v>1856</v>
      </c>
      <c r="C461" s="1278" t="s">
        <v>1090</v>
      </c>
      <c r="D461" s="1287" t="s">
        <v>1129</v>
      </c>
      <c r="E461" s="1287" t="s">
        <v>1130</v>
      </c>
      <c r="F461" s="1281">
        <v>58855</v>
      </c>
      <c r="G461" s="1338"/>
      <c r="H461" s="1282">
        <f t="shared" si="81"/>
        <v>0</v>
      </c>
      <c r="I461" s="1338"/>
      <c r="J461" s="1282">
        <f t="shared" si="82"/>
        <v>0</v>
      </c>
      <c r="K461" s="1338"/>
      <c r="L461" s="1282">
        <f t="shared" si="83"/>
        <v>0</v>
      </c>
      <c r="M461" s="1338"/>
      <c r="N461" s="1282">
        <f t="shared" si="84"/>
        <v>0</v>
      </c>
      <c r="O461" s="1338"/>
      <c r="P461" s="1282">
        <f t="shared" si="85"/>
        <v>0</v>
      </c>
      <c r="Q461" s="1338"/>
      <c r="R461" s="1282">
        <f t="shared" si="86"/>
        <v>0</v>
      </c>
      <c r="S461" s="1338"/>
      <c r="T461" s="1283">
        <f t="shared" si="87"/>
        <v>0</v>
      </c>
      <c r="U461" s="1284">
        <f t="shared" si="79"/>
        <v>0</v>
      </c>
      <c r="V461" s="1285">
        <f t="shared" si="80"/>
        <v>0</v>
      </c>
    </row>
    <row r="462" spans="2:22" outlineLevel="1">
      <c r="B462" s="1278" t="s">
        <v>1857</v>
      </c>
      <c r="C462" s="1278" t="s">
        <v>1090</v>
      </c>
      <c r="D462" s="1287" t="s">
        <v>1131</v>
      </c>
      <c r="E462" s="1287" t="s">
        <v>1132</v>
      </c>
      <c r="F462" s="1281">
        <v>67545</v>
      </c>
      <c r="G462" s="1338"/>
      <c r="H462" s="1282">
        <f t="shared" si="81"/>
        <v>0</v>
      </c>
      <c r="I462" s="1338"/>
      <c r="J462" s="1282">
        <f t="shared" si="82"/>
        <v>0</v>
      </c>
      <c r="K462" s="1338"/>
      <c r="L462" s="1282">
        <f t="shared" si="83"/>
        <v>0</v>
      </c>
      <c r="M462" s="1338"/>
      <c r="N462" s="1282">
        <f t="shared" si="84"/>
        <v>0</v>
      </c>
      <c r="O462" s="1338"/>
      <c r="P462" s="1282">
        <f t="shared" si="85"/>
        <v>0</v>
      </c>
      <c r="Q462" s="1338"/>
      <c r="R462" s="1282">
        <f t="shared" si="86"/>
        <v>0</v>
      </c>
      <c r="S462" s="1338"/>
      <c r="T462" s="1283">
        <f t="shared" si="87"/>
        <v>0</v>
      </c>
      <c r="U462" s="1284">
        <f t="shared" si="79"/>
        <v>0</v>
      </c>
      <c r="V462" s="1285">
        <f t="shared" si="80"/>
        <v>0</v>
      </c>
    </row>
    <row r="463" spans="2:22" outlineLevel="1">
      <c r="B463" s="1278" t="s">
        <v>1858</v>
      </c>
      <c r="C463" s="1278" t="s">
        <v>1090</v>
      </c>
      <c r="D463" s="1287" t="s">
        <v>1133</v>
      </c>
      <c r="E463" s="1287" t="s">
        <v>1134</v>
      </c>
      <c r="F463" s="1281">
        <v>72285</v>
      </c>
      <c r="G463" s="1338"/>
      <c r="H463" s="1282">
        <f t="shared" si="81"/>
        <v>0</v>
      </c>
      <c r="I463" s="1338"/>
      <c r="J463" s="1282">
        <f t="shared" si="82"/>
        <v>0</v>
      </c>
      <c r="K463" s="1338"/>
      <c r="L463" s="1282">
        <f t="shared" si="83"/>
        <v>0</v>
      </c>
      <c r="M463" s="1338"/>
      <c r="N463" s="1282">
        <f t="shared" si="84"/>
        <v>0</v>
      </c>
      <c r="O463" s="1338"/>
      <c r="P463" s="1282">
        <f t="shared" si="85"/>
        <v>0</v>
      </c>
      <c r="Q463" s="1338"/>
      <c r="R463" s="1282">
        <f t="shared" si="86"/>
        <v>0</v>
      </c>
      <c r="S463" s="1338"/>
      <c r="T463" s="1283">
        <f t="shared" si="87"/>
        <v>0</v>
      </c>
      <c r="U463" s="1284">
        <f t="shared" si="79"/>
        <v>0</v>
      </c>
      <c r="V463" s="1285">
        <f t="shared" si="80"/>
        <v>0</v>
      </c>
    </row>
    <row r="464" spans="2:22" outlineLevel="1">
      <c r="B464" s="1278" t="s">
        <v>1859</v>
      </c>
      <c r="C464" s="1278" t="s">
        <v>1090</v>
      </c>
      <c r="D464" s="1287" t="s">
        <v>1135</v>
      </c>
      <c r="E464" s="1287" t="s">
        <v>1136</v>
      </c>
      <c r="F464" s="1281">
        <v>77025</v>
      </c>
      <c r="G464" s="1338"/>
      <c r="H464" s="1282">
        <f t="shared" si="81"/>
        <v>0</v>
      </c>
      <c r="I464" s="1338"/>
      <c r="J464" s="1282">
        <f t="shared" si="82"/>
        <v>0</v>
      </c>
      <c r="K464" s="1338"/>
      <c r="L464" s="1282">
        <f t="shared" si="83"/>
        <v>0</v>
      </c>
      <c r="M464" s="1338"/>
      <c r="N464" s="1282">
        <f t="shared" si="84"/>
        <v>0</v>
      </c>
      <c r="O464" s="1338"/>
      <c r="P464" s="1282">
        <f t="shared" si="85"/>
        <v>0</v>
      </c>
      <c r="Q464" s="1338"/>
      <c r="R464" s="1282">
        <f t="shared" si="86"/>
        <v>0</v>
      </c>
      <c r="S464" s="1338"/>
      <c r="T464" s="1283">
        <f t="shared" si="87"/>
        <v>0</v>
      </c>
      <c r="U464" s="1284">
        <f t="shared" si="79"/>
        <v>0</v>
      </c>
      <c r="V464" s="1285">
        <f t="shared" si="80"/>
        <v>0</v>
      </c>
    </row>
    <row r="465" spans="2:22" outlineLevel="1">
      <c r="B465" s="1278" t="s">
        <v>1860</v>
      </c>
      <c r="C465" s="1278" t="s">
        <v>1090</v>
      </c>
      <c r="D465" s="1287" t="s">
        <v>1137</v>
      </c>
      <c r="E465" s="1287" t="s">
        <v>1138</v>
      </c>
      <c r="F465" s="1281">
        <v>81765</v>
      </c>
      <c r="G465" s="1338"/>
      <c r="H465" s="1282">
        <f t="shared" si="81"/>
        <v>0</v>
      </c>
      <c r="I465" s="1338"/>
      <c r="J465" s="1282">
        <f t="shared" si="82"/>
        <v>0</v>
      </c>
      <c r="K465" s="1338"/>
      <c r="L465" s="1282">
        <f t="shared" si="83"/>
        <v>0</v>
      </c>
      <c r="M465" s="1338"/>
      <c r="N465" s="1282">
        <f t="shared" si="84"/>
        <v>0</v>
      </c>
      <c r="O465" s="1338"/>
      <c r="P465" s="1282">
        <f t="shared" si="85"/>
        <v>0</v>
      </c>
      <c r="Q465" s="1338"/>
      <c r="R465" s="1282">
        <f t="shared" si="86"/>
        <v>0</v>
      </c>
      <c r="S465" s="1338"/>
      <c r="T465" s="1283">
        <f t="shared" si="87"/>
        <v>0</v>
      </c>
      <c r="U465" s="1284">
        <f t="shared" si="79"/>
        <v>0</v>
      </c>
      <c r="V465" s="1285">
        <f t="shared" si="80"/>
        <v>0</v>
      </c>
    </row>
    <row r="466" spans="2:22" outlineLevel="1">
      <c r="B466" s="1278" t="s">
        <v>1861</v>
      </c>
      <c r="C466" s="1278" t="s">
        <v>1090</v>
      </c>
      <c r="D466" s="1287" t="s">
        <v>1139</v>
      </c>
      <c r="E466" s="1287" t="s">
        <v>1140</v>
      </c>
      <c r="F466" s="1281">
        <v>86505</v>
      </c>
      <c r="G466" s="1338"/>
      <c r="H466" s="1282">
        <f t="shared" si="81"/>
        <v>0</v>
      </c>
      <c r="I466" s="1338"/>
      <c r="J466" s="1282">
        <f t="shared" si="82"/>
        <v>0</v>
      </c>
      <c r="K466" s="1338"/>
      <c r="L466" s="1282">
        <f t="shared" si="83"/>
        <v>0</v>
      </c>
      <c r="M466" s="1338"/>
      <c r="N466" s="1282">
        <f t="shared" si="84"/>
        <v>0</v>
      </c>
      <c r="O466" s="1338"/>
      <c r="P466" s="1282">
        <f t="shared" si="85"/>
        <v>0</v>
      </c>
      <c r="Q466" s="1338"/>
      <c r="R466" s="1282">
        <f t="shared" si="86"/>
        <v>0</v>
      </c>
      <c r="S466" s="1338"/>
      <c r="T466" s="1283">
        <f t="shared" si="87"/>
        <v>0</v>
      </c>
      <c r="U466" s="1284">
        <f t="shared" si="79"/>
        <v>0</v>
      </c>
      <c r="V466" s="1285">
        <f t="shared" si="80"/>
        <v>0</v>
      </c>
    </row>
    <row r="467" spans="2:22" outlineLevel="1">
      <c r="B467" s="1278" t="s">
        <v>1862</v>
      </c>
      <c r="C467" s="1278" t="s">
        <v>1090</v>
      </c>
      <c r="D467" s="1287" t="s">
        <v>1141</v>
      </c>
      <c r="E467" s="1287" t="s">
        <v>1142</v>
      </c>
      <c r="F467" s="1281">
        <v>91245</v>
      </c>
      <c r="G467" s="1338"/>
      <c r="H467" s="1282">
        <f t="shared" si="81"/>
        <v>0</v>
      </c>
      <c r="I467" s="1338"/>
      <c r="J467" s="1282">
        <f t="shared" si="82"/>
        <v>0</v>
      </c>
      <c r="K467" s="1338"/>
      <c r="L467" s="1282">
        <f t="shared" si="83"/>
        <v>0</v>
      </c>
      <c r="M467" s="1338"/>
      <c r="N467" s="1282">
        <f t="shared" si="84"/>
        <v>0</v>
      </c>
      <c r="O467" s="1338"/>
      <c r="P467" s="1282">
        <f t="shared" si="85"/>
        <v>0</v>
      </c>
      <c r="Q467" s="1338"/>
      <c r="R467" s="1282">
        <f t="shared" si="86"/>
        <v>0</v>
      </c>
      <c r="S467" s="1338"/>
      <c r="T467" s="1283">
        <f t="shared" si="87"/>
        <v>0</v>
      </c>
      <c r="U467" s="1284">
        <f t="shared" si="79"/>
        <v>0</v>
      </c>
      <c r="V467" s="1285">
        <f t="shared" si="80"/>
        <v>0</v>
      </c>
    </row>
    <row r="468" spans="2:22" outlineLevel="1">
      <c r="B468" s="1278" t="s">
        <v>1863</v>
      </c>
      <c r="C468" s="1278" t="s">
        <v>1090</v>
      </c>
      <c r="D468" s="1287" t="s">
        <v>1143</v>
      </c>
      <c r="E468" s="1287" t="s">
        <v>1144</v>
      </c>
      <c r="F468" s="1281">
        <v>96380</v>
      </c>
      <c r="G468" s="1338"/>
      <c r="H468" s="1282">
        <f t="shared" si="81"/>
        <v>0</v>
      </c>
      <c r="I468" s="1338"/>
      <c r="J468" s="1282">
        <f t="shared" si="82"/>
        <v>0</v>
      </c>
      <c r="K468" s="1338"/>
      <c r="L468" s="1282">
        <f t="shared" si="83"/>
        <v>0</v>
      </c>
      <c r="M468" s="1338"/>
      <c r="N468" s="1282">
        <f t="shared" si="84"/>
        <v>0</v>
      </c>
      <c r="O468" s="1338"/>
      <c r="P468" s="1282">
        <f t="shared" si="85"/>
        <v>0</v>
      </c>
      <c r="Q468" s="1338"/>
      <c r="R468" s="1282">
        <f t="shared" si="86"/>
        <v>0</v>
      </c>
      <c r="S468" s="1338"/>
      <c r="T468" s="1283">
        <f t="shared" si="87"/>
        <v>0</v>
      </c>
      <c r="U468" s="1284">
        <f t="shared" si="79"/>
        <v>0</v>
      </c>
      <c r="V468" s="1285">
        <f t="shared" si="80"/>
        <v>0</v>
      </c>
    </row>
    <row r="469" spans="2:22">
      <c r="B469" s="1312" t="s">
        <v>1864</v>
      </c>
      <c r="C469" s="1254" t="s">
        <v>1145</v>
      </c>
      <c r="D469" s="1254"/>
      <c r="E469" s="1255"/>
      <c r="F469" s="1302"/>
      <c r="G469" s="1339"/>
      <c r="H469" s="1296"/>
      <c r="I469" s="1339"/>
      <c r="J469" s="1296"/>
      <c r="K469" s="1339"/>
      <c r="L469" s="1296"/>
      <c r="M469" s="1339"/>
      <c r="N469" s="1296"/>
      <c r="O469" s="1339"/>
      <c r="P469" s="1296"/>
      <c r="Q469" s="1339"/>
      <c r="R469" s="1296"/>
      <c r="S469" s="1339"/>
      <c r="T469" s="1296"/>
      <c r="U469" s="1297"/>
      <c r="V469" s="1298"/>
    </row>
    <row r="470" spans="2:22" ht="24" outlineLevel="1">
      <c r="B470" s="1278" t="s">
        <v>1865</v>
      </c>
      <c r="C470" s="1278" t="s">
        <v>1145</v>
      </c>
      <c r="D470" s="1287" t="s">
        <v>1146</v>
      </c>
      <c r="E470" s="1251" t="s">
        <v>1147</v>
      </c>
      <c r="F470" s="1281">
        <v>1950</v>
      </c>
      <c r="G470" s="1338"/>
      <c r="H470" s="1282">
        <f t="shared" si="81"/>
        <v>0</v>
      </c>
      <c r="I470" s="1338"/>
      <c r="J470" s="1282">
        <f t="shared" si="82"/>
        <v>0</v>
      </c>
      <c r="K470" s="1338"/>
      <c r="L470" s="1282">
        <f t="shared" si="83"/>
        <v>0</v>
      </c>
      <c r="M470" s="1338"/>
      <c r="N470" s="1282">
        <f t="shared" si="84"/>
        <v>0</v>
      </c>
      <c r="O470" s="1338"/>
      <c r="P470" s="1282">
        <f t="shared" si="85"/>
        <v>0</v>
      </c>
      <c r="Q470" s="1338"/>
      <c r="R470" s="1282">
        <f t="shared" si="86"/>
        <v>0</v>
      </c>
      <c r="S470" s="1338"/>
      <c r="T470" s="1283">
        <f t="shared" si="87"/>
        <v>0</v>
      </c>
      <c r="U470" s="1284">
        <f t="shared" si="79"/>
        <v>0</v>
      </c>
      <c r="V470" s="1285">
        <f t="shared" si="80"/>
        <v>0</v>
      </c>
    </row>
    <row r="471" spans="2:22" ht="24" outlineLevel="1">
      <c r="B471" s="1278" t="s">
        <v>1866</v>
      </c>
      <c r="C471" s="1278" t="s">
        <v>1145</v>
      </c>
      <c r="D471" s="1287" t="s">
        <v>1148</v>
      </c>
      <c r="E471" s="1251" t="s">
        <v>1149</v>
      </c>
      <c r="F471" s="1281">
        <v>4387.5</v>
      </c>
      <c r="G471" s="1338"/>
      <c r="H471" s="1282">
        <f t="shared" si="81"/>
        <v>0</v>
      </c>
      <c r="I471" s="1338"/>
      <c r="J471" s="1282">
        <f t="shared" si="82"/>
        <v>0</v>
      </c>
      <c r="K471" s="1338"/>
      <c r="L471" s="1282">
        <f t="shared" si="83"/>
        <v>0</v>
      </c>
      <c r="M471" s="1338"/>
      <c r="N471" s="1282">
        <f t="shared" si="84"/>
        <v>0</v>
      </c>
      <c r="O471" s="1338"/>
      <c r="P471" s="1282">
        <f t="shared" si="85"/>
        <v>0</v>
      </c>
      <c r="Q471" s="1338"/>
      <c r="R471" s="1282">
        <f t="shared" si="86"/>
        <v>0</v>
      </c>
      <c r="S471" s="1338"/>
      <c r="T471" s="1283">
        <f t="shared" si="87"/>
        <v>0</v>
      </c>
      <c r="U471" s="1284">
        <f t="shared" si="79"/>
        <v>0</v>
      </c>
      <c r="V471" s="1285">
        <f t="shared" si="80"/>
        <v>0</v>
      </c>
    </row>
    <row r="472" spans="2:22" ht="24" outlineLevel="1">
      <c r="B472" s="1278" t="s">
        <v>1867</v>
      </c>
      <c r="C472" s="1278" t="s">
        <v>1145</v>
      </c>
      <c r="D472" s="1287" t="s">
        <v>1150</v>
      </c>
      <c r="E472" s="1251" t="s">
        <v>1151</v>
      </c>
      <c r="F472" s="1281">
        <v>6825</v>
      </c>
      <c r="G472" s="1338"/>
      <c r="H472" s="1282">
        <f t="shared" si="81"/>
        <v>0</v>
      </c>
      <c r="I472" s="1338"/>
      <c r="J472" s="1282">
        <f t="shared" si="82"/>
        <v>0</v>
      </c>
      <c r="K472" s="1338"/>
      <c r="L472" s="1282">
        <f t="shared" si="83"/>
        <v>0</v>
      </c>
      <c r="M472" s="1338"/>
      <c r="N472" s="1282">
        <f t="shared" si="84"/>
        <v>0</v>
      </c>
      <c r="O472" s="1338"/>
      <c r="P472" s="1282">
        <f t="shared" si="85"/>
        <v>0</v>
      </c>
      <c r="Q472" s="1338"/>
      <c r="R472" s="1282">
        <f t="shared" si="86"/>
        <v>0</v>
      </c>
      <c r="S472" s="1338"/>
      <c r="T472" s="1283">
        <f t="shared" si="87"/>
        <v>0</v>
      </c>
      <c r="U472" s="1284">
        <f t="shared" si="79"/>
        <v>0</v>
      </c>
      <c r="V472" s="1285">
        <f t="shared" si="80"/>
        <v>0</v>
      </c>
    </row>
    <row r="473" spans="2:22" ht="24" outlineLevel="1">
      <c r="B473" s="1278" t="s">
        <v>1868</v>
      </c>
      <c r="C473" s="1278" t="s">
        <v>1145</v>
      </c>
      <c r="D473" s="1287" t="s">
        <v>1152</v>
      </c>
      <c r="E473" s="1251" t="s">
        <v>1153</v>
      </c>
      <c r="F473" s="1281">
        <v>10237.5</v>
      </c>
      <c r="G473" s="1338"/>
      <c r="H473" s="1282">
        <f t="shared" si="81"/>
        <v>0</v>
      </c>
      <c r="I473" s="1338"/>
      <c r="J473" s="1282">
        <f t="shared" si="82"/>
        <v>0</v>
      </c>
      <c r="K473" s="1338"/>
      <c r="L473" s="1282">
        <f t="shared" si="83"/>
        <v>0</v>
      </c>
      <c r="M473" s="1338"/>
      <c r="N473" s="1282">
        <f t="shared" si="84"/>
        <v>0</v>
      </c>
      <c r="O473" s="1338"/>
      <c r="P473" s="1282">
        <f t="shared" si="85"/>
        <v>0</v>
      </c>
      <c r="Q473" s="1338"/>
      <c r="R473" s="1282">
        <f t="shared" si="86"/>
        <v>0</v>
      </c>
      <c r="S473" s="1338"/>
      <c r="T473" s="1283">
        <f t="shared" si="87"/>
        <v>0</v>
      </c>
      <c r="U473" s="1284">
        <f t="shared" si="79"/>
        <v>0</v>
      </c>
      <c r="V473" s="1285">
        <f t="shared" si="80"/>
        <v>0</v>
      </c>
    </row>
    <row r="474" spans="2:22" ht="24" outlineLevel="1">
      <c r="B474" s="1278" t="s">
        <v>1869</v>
      </c>
      <c r="C474" s="1278" t="s">
        <v>1145</v>
      </c>
      <c r="D474" s="1287" t="s">
        <v>1154</v>
      </c>
      <c r="E474" s="1251" t="s">
        <v>1155</v>
      </c>
      <c r="F474" s="1281">
        <v>13650</v>
      </c>
      <c r="G474" s="1338"/>
      <c r="H474" s="1282">
        <f t="shared" si="81"/>
        <v>0</v>
      </c>
      <c r="I474" s="1338"/>
      <c r="J474" s="1282">
        <f t="shared" si="82"/>
        <v>0</v>
      </c>
      <c r="K474" s="1338"/>
      <c r="L474" s="1282">
        <f t="shared" si="83"/>
        <v>0</v>
      </c>
      <c r="M474" s="1338"/>
      <c r="N474" s="1282">
        <f t="shared" si="84"/>
        <v>0</v>
      </c>
      <c r="O474" s="1338"/>
      <c r="P474" s="1282">
        <f t="shared" si="85"/>
        <v>0</v>
      </c>
      <c r="Q474" s="1338"/>
      <c r="R474" s="1282">
        <f t="shared" si="86"/>
        <v>0</v>
      </c>
      <c r="S474" s="1338"/>
      <c r="T474" s="1283">
        <f t="shared" si="87"/>
        <v>0</v>
      </c>
      <c r="U474" s="1284">
        <f t="shared" si="79"/>
        <v>0</v>
      </c>
      <c r="V474" s="1285">
        <f t="shared" si="80"/>
        <v>0</v>
      </c>
    </row>
    <row r="475" spans="2:22" ht="24" outlineLevel="1">
      <c r="B475" s="1278" t="s">
        <v>1870</v>
      </c>
      <c r="C475" s="1278" t="s">
        <v>1145</v>
      </c>
      <c r="D475" s="1287" t="s">
        <v>1156</v>
      </c>
      <c r="E475" s="1251" t="s">
        <v>1157</v>
      </c>
      <c r="F475" s="1281">
        <v>16575</v>
      </c>
      <c r="G475" s="1338"/>
      <c r="H475" s="1282">
        <f t="shared" si="81"/>
        <v>0</v>
      </c>
      <c r="I475" s="1338"/>
      <c r="J475" s="1282">
        <f t="shared" si="82"/>
        <v>0</v>
      </c>
      <c r="K475" s="1338"/>
      <c r="L475" s="1282">
        <f t="shared" si="83"/>
        <v>0</v>
      </c>
      <c r="M475" s="1338"/>
      <c r="N475" s="1282">
        <f t="shared" si="84"/>
        <v>0</v>
      </c>
      <c r="O475" s="1338"/>
      <c r="P475" s="1282">
        <f t="shared" si="85"/>
        <v>0</v>
      </c>
      <c r="Q475" s="1338"/>
      <c r="R475" s="1282">
        <f t="shared" si="86"/>
        <v>0</v>
      </c>
      <c r="S475" s="1338"/>
      <c r="T475" s="1283">
        <f t="shared" si="87"/>
        <v>0</v>
      </c>
      <c r="U475" s="1284">
        <f t="shared" si="79"/>
        <v>0</v>
      </c>
      <c r="V475" s="1285">
        <f t="shared" si="80"/>
        <v>0</v>
      </c>
    </row>
    <row r="476" spans="2:22" ht="24" outlineLevel="1">
      <c r="B476" s="1278" t="s">
        <v>1871</v>
      </c>
      <c r="C476" s="1278" t="s">
        <v>1145</v>
      </c>
      <c r="D476" s="1287" t="s">
        <v>1158</v>
      </c>
      <c r="E476" s="1251" t="s">
        <v>1159</v>
      </c>
      <c r="F476" s="1281">
        <v>19500</v>
      </c>
      <c r="G476" s="1338"/>
      <c r="H476" s="1282">
        <f t="shared" si="81"/>
        <v>0</v>
      </c>
      <c r="I476" s="1338"/>
      <c r="J476" s="1282">
        <f t="shared" si="82"/>
        <v>0</v>
      </c>
      <c r="K476" s="1338"/>
      <c r="L476" s="1282">
        <f t="shared" si="83"/>
        <v>0</v>
      </c>
      <c r="M476" s="1338"/>
      <c r="N476" s="1282">
        <f t="shared" si="84"/>
        <v>0</v>
      </c>
      <c r="O476" s="1338"/>
      <c r="P476" s="1282">
        <f t="shared" si="85"/>
        <v>0</v>
      </c>
      <c r="Q476" s="1338"/>
      <c r="R476" s="1282">
        <f t="shared" si="86"/>
        <v>0</v>
      </c>
      <c r="S476" s="1338"/>
      <c r="T476" s="1283">
        <f t="shared" si="87"/>
        <v>0</v>
      </c>
      <c r="U476" s="1284">
        <f t="shared" si="79"/>
        <v>0</v>
      </c>
      <c r="V476" s="1285">
        <f t="shared" si="80"/>
        <v>0</v>
      </c>
    </row>
    <row r="477" spans="2:22" ht="24" outlineLevel="1">
      <c r="B477" s="1278" t="s">
        <v>1872</v>
      </c>
      <c r="C477" s="1278" t="s">
        <v>1145</v>
      </c>
      <c r="D477" s="1287" t="s">
        <v>1160</v>
      </c>
      <c r="E477" s="1251" t="s">
        <v>1161</v>
      </c>
      <c r="F477" s="1281">
        <v>22425</v>
      </c>
      <c r="G477" s="1338"/>
      <c r="H477" s="1282">
        <f t="shared" si="81"/>
        <v>0</v>
      </c>
      <c r="I477" s="1338"/>
      <c r="J477" s="1282">
        <f t="shared" si="82"/>
        <v>0</v>
      </c>
      <c r="K477" s="1338"/>
      <c r="L477" s="1282">
        <f t="shared" si="83"/>
        <v>0</v>
      </c>
      <c r="M477" s="1338"/>
      <c r="N477" s="1282">
        <f t="shared" si="84"/>
        <v>0</v>
      </c>
      <c r="O477" s="1338"/>
      <c r="P477" s="1282">
        <f t="shared" si="85"/>
        <v>0</v>
      </c>
      <c r="Q477" s="1338"/>
      <c r="R477" s="1282">
        <f t="shared" si="86"/>
        <v>0</v>
      </c>
      <c r="S477" s="1338"/>
      <c r="T477" s="1283">
        <f t="shared" si="87"/>
        <v>0</v>
      </c>
      <c r="U477" s="1284">
        <f t="shared" si="79"/>
        <v>0</v>
      </c>
      <c r="V477" s="1285">
        <f t="shared" si="80"/>
        <v>0</v>
      </c>
    </row>
    <row r="478" spans="2:22" ht="24" outlineLevel="1">
      <c r="B478" s="1278" t="s">
        <v>1873</v>
      </c>
      <c r="C478" s="1278" t="s">
        <v>1145</v>
      </c>
      <c r="D478" s="1287" t="s">
        <v>1162</v>
      </c>
      <c r="E478" s="1251" t="s">
        <v>1163</v>
      </c>
      <c r="F478" s="1281">
        <v>25350</v>
      </c>
      <c r="G478" s="1338"/>
      <c r="H478" s="1282">
        <f t="shared" si="81"/>
        <v>0</v>
      </c>
      <c r="I478" s="1338"/>
      <c r="J478" s="1282">
        <f t="shared" si="82"/>
        <v>0</v>
      </c>
      <c r="K478" s="1338"/>
      <c r="L478" s="1282">
        <f t="shared" si="83"/>
        <v>0</v>
      </c>
      <c r="M478" s="1338"/>
      <c r="N478" s="1282">
        <f t="shared" si="84"/>
        <v>0</v>
      </c>
      <c r="O478" s="1338"/>
      <c r="P478" s="1282">
        <f t="shared" si="85"/>
        <v>0</v>
      </c>
      <c r="Q478" s="1338"/>
      <c r="R478" s="1282">
        <f t="shared" si="86"/>
        <v>0</v>
      </c>
      <c r="S478" s="1338"/>
      <c r="T478" s="1283">
        <f t="shared" si="87"/>
        <v>0</v>
      </c>
      <c r="U478" s="1284">
        <f t="shared" si="79"/>
        <v>0</v>
      </c>
      <c r="V478" s="1285">
        <f t="shared" si="80"/>
        <v>0</v>
      </c>
    </row>
    <row r="479" spans="2:22" ht="24" outlineLevel="1">
      <c r="B479" s="1278" t="s">
        <v>1874</v>
      </c>
      <c r="C479" s="1278" t="s">
        <v>1145</v>
      </c>
      <c r="D479" s="1287" t="s">
        <v>1164</v>
      </c>
      <c r="E479" s="1251" t="s">
        <v>1165</v>
      </c>
      <c r="F479" s="1281">
        <v>28275</v>
      </c>
      <c r="G479" s="1338"/>
      <c r="H479" s="1282">
        <f t="shared" si="81"/>
        <v>0</v>
      </c>
      <c r="I479" s="1338"/>
      <c r="J479" s="1282">
        <f t="shared" si="82"/>
        <v>0</v>
      </c>
      <c r="K479" s="1338"/>
      <c r="L479" s="1282">
        <f t="shared" si="83"/>
        <v>0</v>
      </c>
      <c r="M479" s="1338"/>
      <c r="N479" s="1282">
        <f t="shared" si="84"/>
        <v>0</v>
      </c>
      <c r="O479" s="1338"/>
      <c r="P479" s="1282">
        <f t="shared" si="85"/>
        <v>0</v>
      </c>
      <c r="Q479" s="1338"/>
      <c r="R479" s="1282">
        <f t="shared" si="86"/>
        <v>0</v>
      </c>
      <c r="S479" s="1338"/>
      <c r="T479" s="1283">
        <f t="shared" si="87"/>
        <v>0</v>
      </c>
      <c r="U479" s="1284">
        <f t="shared" si="79"/>
        <v>0</v>
      </c>
      <c r="V479" s="1285">
        <f t="shared" si="80"/>
        <v>0</v>
      </c>
    </row>
    <row r="480" spans="2:22" ht="24" outlineLevel="1">
      <c r="B480" s="1278" t="s">
        <v>1875</v>
      </c>
      <c r="C480" s="1278" t="s">
        <v>1145</v>
      </c>
      <c r="D480" s="1287" t="s">
        <v>1166</v>
      </c>
      <c r="E480" s="1251" t="s">
        <v>1167</v>
      </c>
      <c r="F480" s="1281">
        <v>31200</v>
      </c>
      <c r="G480" s="1338"/>
      <c r="H480" s="1282">
        <f t="shared" si="81"/>
        <v>0</v>
      </c>
      <c r="I480" s="1338"/>
      <c r="J480" s="1282">
        <f t="shared" si="82"/>
        <v>0</v>
      </c>
      <c r="K480" s="1338"/>
      <c r="L480" s="1282">
        <f t="shared" si="83"/>
        <v>0</v>
      </c>
      <c r="M480" s="1338"/>
      <c r="N480" s="1282">
        <f t="shared" si="84"/>
        <v>0</v>
      </c>
      <c r="O480" s="1338"/>
      <c r="P480" s="1282">
        <f t="shared" si="85"/>
        <v>0</v>
      </c>
      <c r="Q480" s="1338"/>
      <c r="R480" s="1282">
        <f t="shared" si="86"/>
        <v>0</v>
      </c>
      <c r="S480" s="1338"/>
      <c r="T480" s="1283">
        <f t="shared" si="87"/>
        <v>0</v>
      </c>
      <c r="U480" s="1284">
        <f t="shared" si="79"/>
        <v>0</v>
      </c>
      <c r="V480" s="1285">
        <f t="shared" si="80"/>
        <v>0</v>
      </c>
    </row>
    <row r="481" spans="2:22" ht="24" outlineLevel="1">
      <c r="B481" s="1278" t="s">
        <v>1876</v>
      </c>
      <c r="C481" s="1278" t="s">
        <v>1145</v>
      </c>
      <c r="D481" s="1287" t="s">
        <v>1168</v>
      </c>
      <c r="E481" s="1251" t="s">
        <v>1169</v>
      </c>
      <c r="F481" s="1281">
        <v>34125</v>
      </c>
      <c r="G481" s="1338"/>
      <c r="H481" s="1282">
        <f t="shared" si="81"/>
        <v>0</v>
      </c>
      <c r="I481" s="1338"/>
      <c r="J481" s="1282">
        <f t="shared" si="82"/>
        <v>0</v>
      </c>
      <c r="K481" s="1338"/>
      <c r="L481" s="1282">
        <f t="shared" si="83"/>
        <v>0</v>
      </c>
      <c r="M481" s="1338"/>
      <c r="N481" s="1282">
        <f t="shared" si="84"/>
        <v>0</v>
      </c>
      <c r="O481" s="1338"/>
      <c r="P481" s="1282">
        <f t="shared" si="85"/>
        <v>0</v>
      </c>
      <c r="Q481" s="1338"/>
      <c r="R481" s="1282">
        <f t="shared" si="86"/>
        <v>0</v>
      </c>
      <c r="S481" s="1338"/>
      <c r="T481" s="1283">
        <f t="shared" si="87"/>
        <v>0</v>
      </c>
      <c r="U481" s="1284">
        <f t="shared" si="79"/>
        <v>0</v>
      </c>
      <c r="V481" s="1285">
        <f t="shared" si="80"/>
        <v>0</v>
      </c>
    </row>
    <row r="482" spans="2:22" ht="24" outlineLevel="1">
      <c r="B482" s="1278" t="s">
        <v>1877</v>
      </c>
      <c r="C482" s="1278" t="s">
        <v>1145</v>
      </c>
      <c r="D482" s="1287" t="s">
        <v>1170</v>
      </c>
      <c r="E482" s="1251" t="s">
        <v>1171</v>
      </c>
      <c r="F482" s="1281">
        <v>37050</v>
      </c>
      <c r="G482" s="1338"/>
      <c r="H482" s="1282">
        <f t="shared" si="81"/>
        <v>0</v>
      </c>
      <c r="I482" s="1338"/>
      <c r="J482" s="1282">
        <f t="shared" si="82"/>
        <v>0</v>
      </c>
      <c r="K482" s="1338"/>
      <c r="L482" s="1282">
        <f t="shared" si="83"/>
        <v>0</v>
      </c>
      <c r="M482" s="1338"/>
      <c r="N482" s="1282">
        <f t="shared" si="84"/>
        <v>0</v>
      </c>
      <c r="O482" s="1338"/>
      <c r="P482" s="1282">
        <f t="shared" si="85"/>
        <v>0</v>
      </c>
      <c r="Q482" s="1338"/>
      <c r="R482" s="1282">
        <f t="shared" si="86"/>
        <v>0</v>
      </c>
      <c r="S482" s="1338"/>
      <c r="T482" s="1283">
        <f t="shared" si="87"/>
        <v>0</v>
      </c>
      <c r="U482" s="1284">
        <f t="shared" si="79"/>
        <v>0</v>
      </c>
      <c r="V482" s="1285">
        <f t="shared" si="80"/>
        <v>0</v>
      </c>
    </row>
    <row r="483" spans="2:22" ht="24" outlineLevel="1">
      <c r="B483" s="1278" t="s">
        <v>1878</v>
      </c>
      <c r="C483" s="1278" t="s">
        <v>1145</v>
      </c>
      <c r="D483" s="1287" t="s">
        <v>1172</v>
      </c>
      <c r="E483" s="1251" t="s">
        <v>1173</v>
      </c>
      <c r="F483" s="1281">
        <v>39975</v>
      </c>
      <c r="G483" s="1338"/>
      <c r="H483" s="1282">
        <f t="shared" si="81"/>
        <v>0</v>
      </c>
      <c r="I483" s="1338"/>
      <c r="J483" s="1282">
        <f t="shared" si="82"/>
        <v>0</v>
      </c>
      <c r="K483" s="1338"/>
      <c r="L483" s="1282">
        <f t="shared" si="83"/>
        <v>0</v>
      </c>
      <c r="M483" s="1338"/>
      <c r="N483" s="1282">
        <f t="shared" si="84"/>
        <v>0</v>
      </c>
      <c r="O483" s="1338"/>
      <c r="P483" s="1282">
        <f t="shared" si="85"/>
        <v>0</v>
      </c>
      <c r="Q483" s="1338"/>
      <c r="R483" s="1282">
        <f t="shared" si="86"/>
        <v>0</v>
      </c>
      <c r="S483" s="1338"/>
      <c r="T483" s="1283">
        <f t="shared" si="87"/>
        <v>0</v>
      </c>
      <c r="U483" s="1284">
        <f t="shared" si="79"/>
        <v>0</v>
      </c>
      <c r="V483" s="1285">
        <f t="shared" si="80"/>
        <v>0</v>
      </c>
    </row>
    <row r="484" spans="2:22" ht="24" outlineLevel="1">
      <c r="B484" s="1278" t="s">
        <v>1879</v>
      </c>
      <c r="C484" s="1278" t="s">
        <v>1145</v>
      </c>
      <c r="D484" s="1287" t="s">
        <v>1174</v>
      </c>
      <c r="E484" s="1251" t="s">
        <v>1175</v>
      </c>
      <c r="F484" s="1281">
        <v>42900</v>
      </c>
      <c r="G484" s="1338"/>
      <c r="H484" s="1282">
        <f t="shared" si="81"/>
        <v>0</v>
      </c>
      <c r="I484" s="1338"/>
      <c r="J484" s="1282">
        <f t="shared" si="82"/>
        <v>0</v>
      </c>
      <c r="K484" s="1338"/>
      <c r="L484" s="1282">
        <f t="shared" si="83"/>
        <v>0</v>
      </c>
      <c r="M484" s="1338"/>
      <c r="N484" s="1282">
        <f t="shared" si="84"/>
        <v>0</v>
      </c>
      <c r="O484" s="1338"/>
      <c r="P484" s="1282">
        <f t="shared" si="85"/>
        <v>0</v>
      </c>
      <c r="Q484" s="1338"/>
      <c r="R484" s="1282">
        <f t="shared" si="86"/>
        <v>0</v>
      </c>
      <c r="S484" s="1338"/>
      <c r="T484" s="1283">
        <f t="shared" si="87"/>
        <v>0</v>
      </c>
      <c r="U484" s="1284">
        <f t="shared" si="79"/>
        <v>0</v>
      </c>
      <c r="V484" s="1285">
        <f t="shared" si="80"/>
        <v>0</v>
      </c>
    </row>
    <row r="485" spans="2:22" ht="24" outlineLevel="1">
      <c r="B485" s="1278" t="s">
        <v>1880</v>
      </c>
      <c r="C485" s="1278" t="s">
        <v>1145</v>
      </c>
      <c r="D485" s="1287" t="s">
        <v>1176</v>
      </c>
      <c r="E485" s="1251" t="s">
        <v>1177</v>
      </c>
      <c r="F485" s="1281">
        <v>45825</v>
      </c>
      <c r="G485" s="1338"/>
      <c r="H485" s="1282">
        <f t="shared" si="81"/>
        <v>0</v>
      </c>
      <c r="I485" s="1338"/>
      <c r="J485" s="1282">
        <f t="shared" si="82"/>
        <v>0</v>
      </c>
      <c r="K485" s="1338"/>
      <c r="L485" s="1282">
        <f t="shared" si="83"/>
        <v>0</v>
      </c>
      <c r="M485" s="1338"/>
      <c r="N485" s="1282">
        <f t="shared" si="84"/>
        <v>0</v>
      </c>
      <c r="O485" s="1338"/>
      <c r="P485" s="1282">
        <f t="shared" si="85"/>
        <v>0</v>
      </c>
      <c r="Q485" s="1338"/>
      <c r="R485" s="1282">
        <f t="shared" si="86"/>
        <v>0</v>
      </c>
      <c r="S485" s="1338"/>
      <c r="T485" s="1283">
        <f t="shared" si="87"/>
        <v>0</v>
      </c>
      <c r="U485" s="1284">
        <f t="shared" ref="U485:U548" si="88">G485+I485+K485+M485+O485+Q485+S485</f>
        <v>0</v>
      </c>
      <c r="V485" s="1285">
        <f t="shared" ref="V485:V548" si="89">U485*F485</f>
        <v>0</v>
      </c>
    </row>
    <row r="486" spans="2:22" ht="24" outlineLevel="1">
      <c r="B486" s="1278" t="s">
        <v>1881</v>
      </c>
      <c r="C486" s="1278" t="s">
        <v>1145</v>
      </c>
      <c r="D486" s="1287" t="s">
        <v>1178</v>
      </c>
      <c r="E486" s="1251" t="s">
        <v>1179</v>
      </c>
      <c r="F486" s="1281">
        <v>48750</v>
      </c>
      <c r="G486" s="1338"/>
      <c r="H486" s="1282">
        <f t="shared" si="81"/>
        <v>0</v>
      </c>
      <c r="I486" s="1338"/>
      <c r="J486" s="1282">
        <f t="shared" si="82"/>
        <v>0</v>
      </c>
      <c r="K486" s="1338"/>
      <c r="L486" s="1282">
        <f t="shared" si="83"/>
        <v>0</v>
      </c>
      <c r="M486" s="1338"/>
      <c r="N486" s="1282">
        <f t="shared" si="84"/>
        <v>0</v>
      </c>
      <c r="O486" s="1338"/>
      <c r="P486" s="1282">
        <f t="shared" si="85"/>
        <v>0</v>
      </c>
      <c r="Q486" s="1338"/>
      <c r="R486" s="1282">
        <f t="shared" si="86"/>
        <v>0</v>
      </c>
      <c r="S486" s="1338"/>
      <c r="T486" s="1283">
        <f t="shared" si="87"/>
        <v>0</v>
      </c>
      <c r="U486" s="1284">
        <f t="shared" si="88"/>
        <v>0</v>
      </c>
      <c r="V486" s="1285">
        <f t="shared" si="89"/>
        <v>0</v>
      </c>
    </row>
    <row r="487" spans="2:22" ht="24" outlineLevel="1">
      <c r="B487" s="1278" t="s">
        <v>1882</v>
      </c>
      <c r="C487" s="1278" t="s">
        <v>1145</v>
      </c>
      <c r="D487" s="1287" t="s">
        <v>1180</v>
      </c>
      <c r="E487" s="1251" t="s">
        <v>1181</v>
      </c>
      <c r="F487" s="1281">
        <v>51675</v>
      </c>
      <c r="G487" s="1338"/>
      <c r="H487" s="1282">
        <f t="shared" si="81"/>
        <v>0</v>
      </c>
      <c r="I487" s="1338"/>
      <c r="J487" s="1282">
        <f t="shared" si="82"/>
        <v>0</v>
      </c>
      <c r="K487" s="1338"/>
      <c r="L487" s="1282">
        <f t="shared" si="83"/>
        <v>0</v>
      </c>
      <c r="M487" s="1338"/>
      <c r="N487" s="1282">
        <f t="shared" si="84"/>
        <v>0</v>
      </c>
      <c r="O487" s="1338"/>
      <c r="P487" s="1282">
        <f t="shared" si="85"/>
        <v>0</v>
      </c>
      <c r="Q487" s="1338"/>
      <c r="R487" s="1282">
        <f t="shared" si="86"/>
        <v>0</v>
      </c>
      <c r="S487" s="1338"/>
      <c r="T487" s="1283">
        <f t="shared" si="87"/>
        <v>0</v>
      </c>
      <c r="U487" s="1284">
        <f t="shared" si="88"/>
        <v>0</v>
      </c>
      <c r="V487" s="1285">
        <f t="shared" si="89"/>
        <v>0</v>
      </c>
    </row>
    <row r="488" spans="2:22" ht="24" outlineLevel="1">
      <c r="B488" s="1278" t="s">
        <v>1883</v>
      </c>
      <c r="C488" s="1278" t="s">
        <v>1145</v>
      </c>
      <c r="D488" s="1287" t="s">
        <v>1182</v>
      </c>
      <c r="E488" s="1251" t="s">
        <v>1183</v>
      </c>
      <c r="F488" s="1281">
        <v>54600</v>
      </c>
      <c r="G488" s="1338"/>
      <c r="H488" s="1282">
        <f t="shared" si="81"/>
        <v>0</v>
      </c>
      <c r="I488" s="1338"/>
      <c r="J488" s="1282">
        <f t="shared" si="82"/>
        <v>0</v>
      </c>
      <c r="K488" s="1338"/>
      <c r="L488" s="1282">
        <f t="shared" si="83"/>
        <v>0</v>
      </c>
      <c r="M488" s="1338"/>
      <c r="N488" s="1282">
        <f t="shared" si="84"/>
        <v>0</v>
      </c>
      <c r="O488" s="1338"/>
      <c r="P488" s="1282">
        <f t="shared" si="85"/>
        <v>0</v>
      </c>
      <c r="Q488" s="1338"/>
      <c r="R488" s="1282">
        <f t="shared" si="86"/>
        <v>0</v>
      </c>
      <c r="S488" s="1338"/>
      <c r="T488" s="1283">
        <f t="shared" si="87"/>
        <v>0</v>
      </c>
      <c r="U488" s="1284">
        <f t="shared" si="88"/>
        <v>0</v>
      </c>
      <c r="V488" s="1285">
        <f t="shared" si="89"/>
        <v>0</v>
      </c>
    </row>
    <row r="489" spans="2:22" ht="24" outlineLevel="1">
      <c r="B489" s="1278" t="s">
        <v>1884</v>
      </c>
      <c r="C489" s="1278" t="s">
        <v>1145</v>
      </c>
      <c r="D489" s="1287" t="s">
        <v>1184</v>
      </c>
      <c r="E489" s="1251" t="s">
        <v>1185</v>
      </c>
      <c r="F489" s="1281">
        <v>57525</v>
      </c>
      <c r="G489" s="1338"/>
      <c r="H489" s="1282">
        <f t="shared" si="81"/>
        <v>0</v>
      </c>
      <c r="I489" s="1338"/>
      <c r="J489" s="1282">
        <f t="shared" si="82"/>
        <v>0</v>
      </c>
      <c r="K489" s="1338"/>
      <c r="L489" s="1282">
        <f t="shared" si="83"/>
        <v>0</v>
      </c>
      <c r="M489" s="1338"/>
      <c r="N489" s="1282">
        <f t="shared" si="84"/>
        <v>0</v>
      </c>
      <c r="O489" s="1338"/>
      <c r="P489" s="1282">
        <f t="shared" si="85"/>
        <v>0</v>
      </c>
      <c r="Q489" s="1338"/>
      <c r="R489" s="1282">
        <f t="shared" si="86"/>
        <v>0</v>
      </c>
      <c r="S489" s="1338"/>
      <c r="T489" s="1283">
        <f t="shared" si="87"/>
        <v>0</v>
      </c>
      <c r="U489" s="1284">
        <f t="shared" si="88"/>
        <v>0</v>
      </c>
      <c r="V489" s="1285">
        <f t="shared" si="89"/>
        <v>0</v>
      </c>
    </row>
    <row r="490" spans="2:22" ht="24" outlineLevel="1">
      <c r="B490" s="1278" t="s">
        <v>1885</v>
      </c>
      <c r="C490" s="1278" t="s">
        <v>1145</v>
      </c>
      <c r="D490" s="1287" t="s">
        <v>1186</v>
      </c>
      <c r="E490" s="1251" t="s">
        <v>1187</v>
      </c>
      <c r="F490" s="1281">
        <v>60450</v>
      </c>
      <c r="G490" s="1338"/>
      <c r="H490" s="1282">
        <f t="shared" si="81"/>
        <v>0</v>
      </c>
      <c r="I490" s="1338"/>
      <c r="J490" s="1282">
        <f t="shared" si="82"/>
        <v>0</v>
      </c>
      <c r="K490" s="1338"/>
      <c r="L490" s="1282">
        <f t="shared" si="83"/>
        <v>0</v>
      </c>
      <c r="M490" s="1338"/>
      <c r="N490" s="1282">
        <f t="shared" si="84"/>
        <v>0</v>
      </c>
      <c r="O490" s="1338"/>
      <c r="P490" s="1282">
        <f t="shared" si="85"/>
        <v>0</v>
      </c>
      <c r="Q490" s="1338"/>
      <c r="R490" s="1282">
        <f t="shared" si="86"/>
        <v>0</v>
      </c>
      <c r="S490" s="1338"/>
      <c r="T490" s="1283">
        <f t="shared" si="87"/>
        <v>0</v>
      </c>
      <c r="U490" s="1284">
        <f t="shared" si="88"/>
        <v>0</v>
      </c>
      <c r="V490" s="1285">
        <f t="shared" si="89"/>
        <v>0</v>
      </c>
    </row>
    <row r="491" spans="2:22" ht="24" outlineLevel="1">
      <c r="B491" s="1278" t="s">
        <v>1886</v>
      </c>
      <c r="C491" s="1278" t="s">
        <v>1145</v>
      </c>
      <c r="D491" s="1287" t="s">
        <v>1188</v>
      </c>
      <c r="E491" s="1251" t="s">
        <v>1189</v>
      </c>
      <c r="F491" s="1281">
        <v>63375</v>
      </c>
      <c r="G491" s="1338"/>
      <c r="H491" s="1282">
        <f t="shared" si="81"/>
        <v>0</v>
      </c>
      <c r="I491" s="1338"/>
      <c r="J491" s="1282">
        <f t="shared" si="82"/>
        <v>0</v>
      </c>
      <c r="K491" s="1338"/>
      <c r="L491" s="1282">
        <f t="shared" si="83"/>
        <v>0</v>
      </c>
      <c r="M491" s="1338"/>
      <c r="N491" s="1282">
        <f t="shared" si="84"/>
        <v>0</v>
      </c>
      <c r="O491" s="1338"/>
      <c r="P491" s="1282">
        <f t="shared" si="85"/>
        <v>0</v>
      </c>
      <c r="Q491" s="1338"/>
      <c r="R491" s="1282">
        <f t="shared" si="86"/>
        <v>0</v>
      </c>
      <c r="S491" s="1338"/>
      <c r="T491" s="1283">
        <f t="shared" si="87"/>
        <v>0</v>
      </c>
      <c r="U491" s="1284">
        <f t="shared" si="88"/>
        <v>0</v>
      </c>
      <c r="V491" s="1285">
        <f t="shared" si="89"/>
        <v>0</v>
      </c>
    </row>
    <row r="492" spans="2:22" ht="24" outlineLevel="1">
      <c r="B492" s="1278" t="s">
        <v>1887</v>
      </c>
      <c r="C492" s="1278" t="s">
        <v>1145</v>
      </c>
      <c r="D492" s="1287" t="s">
        <v>1190</v>
      </c>
      <c r="E492" s="1251" t="s">
        <v>1191</v>
      </c>
      <c r="F492" s="1281">
        <v>66300</v>
      </c>
      <c r="G492" s="1338"/>
      <c r="H492" s="1282">
        <f t="shared" si="81"/>
        <v>0</v>
      </c>
      <c r="I492" s="1338"/>
      <c r="J492" s="1282">
        <f t="shared" si="82"/>
        <v>0</v>
      </c>
      <c r="K492" s="1338"/>
      <c r="L492" s="1282">
        <f t="shared" si="83"/>
        <v>0</v>
      </c>
      <c r="M492" s="1338"/>
      <c r="N492" s="1282">
        <f t="shared" si="84"/>
        <v>0</v>
      </c>
      <c r="O492" s="1338"/>
      <c r="P492" s="1282">
        <f t="shared" si="85"/>
        <v>0</v>
      </c>
      <c r="Q492" s="1338"/>
      <c r="R492" s="1282">
        <f t="shared" si="86"/>
        <v>0</v>
      </c>
      <c r="S492" s="1338"/>
      <c r="T492" s="1283">
        <f t="shared" si="87"/>
        <v>0</v>
      </c>
      <c r="U492" s="1284">
        <f t="shared" si="88"/>
        <v>0</v>
      </c>
      <c r="V492" s="1285">
        <f t="shared" si="89"/>
        <v>0</v>
      </c>
    </row>
    <row r="493" spans="2:22" ht="24" outlineLevel="1">
      <c r="B493" s="1278" t="s">
        <v>1888</v>
      </c>
      <c r="C493" s="1278" t="s">
        <v>1145</v>
      </c>
      <c r="D493" s="1287" t="s">
        <v>1192</v>
      </c>
      <c r="E493" s="1251" t="s">
        <v>1193</v>
      </c>
      <c r="F493" s="1281">
        <v>69712.5</v>
      </c>
      <c r="G493" s="1338"/>
      <c r="H493" s="1282">
        <f t="shared" si="81"/>
        <v>0</v>
      </c>
      <c r="I493" s="1338"/>
      <c r="J493" s="1282">
        <f t="shared" si="82"/>
        <v>0</v>
      </c>
      <c r="K493" s="1338"/>
      <c r="L493" s="1282">
        <f t="shared" si="83"/>
        <v>0</v>
      </c>
      <c r="M493" s="1338"/>
      <c r="N493" s="1282">
        <f t="shared" si="84"/>
        <v>0</v>
      </c>
      <c r="O493" s="1338"/>
      <c r="P493" s="1282">
        <f t="shared" si="85"/>
        <v>0</v>
      </c>
      <c r="Q493" s="1338"/>
      <c r="R493" s="1282">
        <f t="shared" si="86"/>
        <v>0</v>
      </c>
      <c r="S493" s="1338"/>
      <c r="T493" s="1283">
        <f t="shared" si="87"/>
        <v>0</v>
      </c>
      <c r="U493" s="1284">
        <f t="shared" si="88"/>
        <v>0</v>
      </c>
      <c r="V493" s="1285">
        <f t="shared" si="89"/>
        <v>0</v>
      </c>
    </row>
    <row r="494" spans="2:22">
      <c r="B494" s="1254" t="s">
        <v>1889</v>
      </c>
      <c r="C494" s="1254" t="s">
        <v>1194</v>
      </c>
      <c r="D494" s="1254"/>
      <c r="E494" s="1255"/>
      <c r="F494" s="1302"/>
      <c r="G494" s="1339"/>
      <c r="H494" s="1296"/>
      <c r="I494" s="1339"/>
      <c r="J494" s="1296"/>
      <c r="K494" s="1339"/>
      <c r="L494" s="1296"/>
      <c r="M494" s="1339"/>
      <c r="N494" s="1296"/>
      <c r="O494" s="1339"/>
      <c r="P494" s="1296"/>
      <c r="Q494" s="1339"/>
      <c r="R494" s="1296"/>
      <c r="S494" s="1339"/>
      <c r="T494" s="1296"/>
      <c r="U494" s="1297"/>
      <c r="V494" s="1298"/>
    </row>
    <row r="495" spans="2:22" ht="24" outlineLevel="1">
      <c r="B495" s="1278" t="s">
        <v>1890</v>
      </c>
      <c r="C495" s="1278" t="s">
        <v>1194</v>
      </c>
      <c r="D495" s="1291" t="s">
        <v>1195</v>
      </c>
      <c r="E495" s="1291" t="s">
        <v>1196</v>
      </c>
      <c r="F495" s="1281">
        <v>1236</v>
      </c>
      <c r="G495" s="1338"/>
      <c r="H495" s="1282">
        <f t="shared" si="81"/>
        <v>0</v>
      </c>
      <c r="I495" s="1338"/>
      <c r="J495" s="1282">
        <f t="shared" si="82"/>
        <v>0</v>
      </c>
      <c r="K495" s="1338"/>
      <c r="L495" s="1282">
        <f t="shared" si="83"/>
        <v>0</v>
      </c>
      <c r="M495" s="1338"/>
      <c r="N495" s="1282">
        <f t="shared" si="84"/>
        <v>0</v>
      </c>
      <c r="O495" s="1338"/>
      <c r="P495" s="1282">
        <f t="shared" si="85"/>
        <v>0</v>
      </c>
      <c r="Q495" s="1338"/>
      <c r="R495" s="1282">
        <f t="shared" si="86"/>
        <v>0</v>
      </c>
      <c r="S495" s="1338"/>
      <c r="T495" s="1283">
        <f t="shared" si="87"/>
        <v>0</v>
      </c>
      <c r="U495" s="1284">
        <f t="shared" si="88"/>
        <v>0</v>
      </c>
      <c r="V495" s="1285">
        <f t="shared" si="89"/>
        <v>0</v>
      </c>
    </row>
    <row r="496" spans="2:22" ht="24" outlineLevel="1">
      <c r="B496" s="1278" t="s">
        <v>1891</v>
      </c>
      <c r="C496" s="1278" t="s">
        <v>1194</v>
      </c>
      <c r="D496" s="1291" t="s">
        <v>1197</v>
      </c>
      <c r="E496" s="1291" t="s">
        <v>1198</v>
      </c>
      <c r="F496" s="1281">
        <v>1236</v>
      </c>
      <c r="G496" s="1338"/>
      <c r="H496" s="1282">
        <f t="shared" si="81"/>
        <v>0</v>
      </c>
      <c r="I496" s="1338"/>
      <c r="J496" s="1282">
        <f t="shared" si="82"/>
        <v>0</v>
      </c>
      <c r="K496" s="1338"/>
      <c r="L496" s="1282">
        <f t="shared" si="83"/>
        <v>0</v>
      </c>
      <c r="M496" s="1338"/>
      <c r="N496" s="1282">
        <f t="shared" si="84"/>
        <v>0</v>
      </c>
      <c r="O496" s="1338"/>
      <c r="P496" s="1282">
        <f t="shared" si="85"/>
        <v>0</v>
      </c>
      <c r="Q496" s="1338"/>
      <c r="R496" s="1282">
        <f t="shared" si="86"/>
        <v>0</v>
      </c>
      <c r="S496" s="1338"/>
      <c r="T496" s="1283">
        <f t="shared" si="87"/>
        <v>0</v>
      </c>
      <c r="U496" s="1284">
        <f t="shared" si="88"/>
        <v>0</v>
      </c>
      <c r="V496" s="1285">
        <f t="shared" si="89"/>
        <v>0</v>
      </c>
    </row>
    <row r="497" spans="2:22" ht="24" outlineLevel="1">
      <c r="B497" s="1278" t="s">
        <v>1892</v>
      </c>
      <c r="C497" s="1278" t="s">
        <v>1194</v>
      </c>
      <c r="D497" s="1291" t="s">
        <v>1199</v>
      </c>
      <c r="E497" s="1291" t="s">
        <v>1200</v>
      </c>
      <c r="F497" s="1281">
        <v>1236</v>
      </c>
      <c r="G497" s="1338"/>
      <c r="H497" s="1282">
        <f t="shared" si="81"/>
        <v>0</v>
      </c>
      <c r="I497" s="1338"/>
      <c r="J497" s="1282">
        <f t="shared" si="82"/>
        <v>0</v>
      </c>
      <c r="K497" s="1338"/>
      <c r="L497" s="1282">
        <f t="shared" si="83"/>
        <v>0</v>
      </c>
      <c r="M497" s="1338"/>
      <c r="N497" s="1282">
        <f t="shared" si="84"/>
        <v>0</v>
      </c>
      <c r="O497" s="1338"/>
      <c r="P497" s="1282">
        <f t="shared" si="85"/>
        <v>0</v>
      </c>
      <c r="Q497" s="1338"/>
      <c r="R497" s="1282">
        <f t="shared" si="86"/>
        <v>0</v>
      </c>
      <c r="S497" s="1338"/>
      <c r="T497" s="1283">
        <f t="shared" si="87"/>
        <v>0</v>
      </c>
      <c r="U497" s="1284">
        <f t="shared" si="88"/>
        <v>0</v>
      </c>
      <c r="V497" s="1285">
        <f t="shared" si="89"/>
        <v>0</v>
      </c>
    </row>
    <row r="498" spans="2:22" ht="24" outlineLevel="1">
      <c r="B498" s="1278" t="s">
        <v>1893</v>
      </c>
      <c r="C498" s="1278" t="s">
        <v>1194</v>
      </c>
      <c r="D498" s="1291" t="s">
        <v>1201</v>
      </c>
      <c r="E498" s="1291" t="s">
        <v>1202</v>
      </c>
      <c r="F498" s="1281">
        <v>2472</v>
      </c>
      <c r="G498" s="1338"/>
      <c r="H498" s="1282">
        <f t="shared" si="81"/>
        <v>0</v>
      </c>
      <c r="I498" s="1338"/>
      <c r="J498" s="1282">
        <f t="shared" si="82"/>
        <v>0</v>
      </c>
      <c r="K498" s="1338"/>
      <c r="L498" s="1282">
        <f t="shared" si="83"/>
        <v>0</v>
      </c>
      <c r="M498" s="1338"/>
      <c r="N498" s="1282">
        <f t="shared" si="84"/>
        <v>0</v>
      </c>
      <c r="O498" s="1338"/>
      <c r="P498" s="1282">
        <f t="shared" si="85"/>
        <v>0</v>
      </c>
      <c r="Q498" s="1338"/>
      <c r="R498" s="1282">
        <f t="shared" si="86"/>
        <v>0</v>
      </c>
      <c r="S498" s="1338"/>
      <c r="T498" s="1283">
        <f t="shared" si="87"/>
        <v>0</v>
      </c>
      <c r="U498" s="1284">
        <f t="shared" si="88"/>
        <v>0</v>
      </c>
      <c r="V498" s="1285">
        <f t="shared" si="89"/>
        <v>0</v>
      </c>
    </row>
    <row r="499" spans="2:22" ht="24" outlineLevel="1">
      <c r="B499" s="1278" t="s">
        <v>1894</v>
      </c>
      <c r="C499" s="1278" t="s">
        <v>1194</v>
      </c>
      <c r="D499" s="1291" t="s">
        <v>1203</v>
      </c>
      <c r="E499" s="1291" t="s">
        <v>1204</v>
      </c>
      <c r="F499" s="1281">
        <v>2472</v>
      </c>
      <c r="G499" s="1338"/>
      <c r="H499" s="1282">
        <f t="shared" si="81"/>
        <v>0</v>
      </c>
      <c r="I499" s="1338"/>
      <c r="J499" s="1282">
        <f t="shared" si="82"/>
        <v>0</v>
      </c>
      <c r="K499" s="1338"/>
      <c r="L499" s="1282">
        <f t="shared" si="83"/>
        <v>0</v>
      </c>
      <c r="M499" s="1338"/>
      <c r="N499" s="1282">
        <f t="shared" si="84"/>
        <v>0</v>
      </c>
      <c r="O499" s="1338"/>
      <c r="P499" s="1282">
        <f t="shared" si="85"/>
        <v>0</v>
      </c>
      <c r="Q499" s="1338"/>
      <c r="R499" s="1282">
        <f t="shared" si="86"/>
        <v>0</v>
      </c>
      <c r="S499" s="1338"/>
      <c r="T499" s="1283">
        <f t="shared" si="87"/>
        <v>0</v>
      </c>
      <c r="U499" s="1284">
        <f t="shared" si="88"/>
        <v>0</v>
      </c>
      <c r="V499" s="1285">
        <f t="shared" si="89"/>
        <v>0</v>
      </c>
    </row>
    <row r="500" spans="2:22" ht="24" outlineLevel="1">
      <c r="B500" s="1278" t="s">
        <v>1895</v>
      </c>
      <c r="C500" s="1278" t="s">
        <v>1194</v>
      </c>
      <c r="D500" s="1291" t="s">
        <v>1205</v>
      </c>
      <c r="E500" s="1291" t="s">
        <v>1206</v>
      </c>
      <c r="F500" s="1281">
        <v>2472</v>
      </c>
      <c r="G500" s="1338"/>
      <c r="H500" s="1282">
        <f t="shared" si="81"/>
        <v>0</v>
      </c>
      <c r="I500" s="1338"/>
      <c r="J500" s="1282">
        <f t="shared" si="82"/>
        <v>0</v>
      </c>
      <c r="K500" s="1338"/>
      <c r="L500" s="1282">
        <f t="shared" si="83"/>
        <v>0</v>
      </c>
      <c r="M500" s="1338"/>
      <c r="N500" s="1282">
        <f t="shared" si="84"/>
        <v>0</v>
      </c>
      <c r="O500" s="1338"/>
      <c r="P500" s="1282">
        <f t="shared" si="85"/>
        <v>0</v>
      </c>
      <c r="Q500" s="1338"/>
      <c r="R500" s="1282">
        <f t="shared" si="86"/>
        <v>0</v>
      </c>
      <c r="S500" s="1338"/>
      <c r="T500" s="1283">
        <f t="shared" si="87"/>
        <v>0</v>
      </c>
      <c r="U500" s="1284">
        <f t="shared" si="88"/>
        <v>0</v>
      </c>
      <c r="V500" s="1285">
        <f t="shared" si="89"/>
        <v>0</v>
      </c>
    </row>
    <row r="501" spans="2:22" ht="24" outlineLevel="1">
      <c r="B501" s="1278" t="s">
        <v>1896</v>
      </c>
      <c r="C501" s="1278" t="s">
        <v>1194</v>
      </c>
      <c r="D501" s="1291" t="s">
        <v>1207</v>
      </c>
      <c r="E501" s="1291" t="s">
        <v>1208</v>
      </c>
      <c r="F501" s="1281">
        <v>3708</v>
      </c>
      <c r="G501" s="1338"/>
      <c r="H501" s="1282">
        <f t="shared" si="81"/>
        <v>0</v>
      </c>
      <c r="I501" s="1338"/>
      <c r="J501" s="1282">
        <f t="shared" si="82"/>
        <v>0</v>
      </c>
      <c r="K501" s="1338"/>
      <c r="L501" s="1282">
        <f t="shared" si="83"/>
        <v>0</v>
      </c>
      <c r="M501" s="1338"/>
      <c r="N501" s="1282">
        <f t="shared" si="84"/>
        <v>0</v>
      </c>
      <c r="O501" s="1338"/>
      <c r="P501" s="1282">
        <f t="shared" si="85"/>
        <v>0</v>
      </c>
      <c r="Q501" s="1338"/>
      <c r="R501" s="1282">
        <f t="shared" si="86"/>
        <v>0</v>
      </c>
      <c r="S501" s="1338"/>
      <c r="T501" s="1283">
        <f t="shared" si="87"/>
        <v>0</v>
      </c>
      <c r="U501" s="1284">
        <f t="shared" si="88"/>
        <v>0</v>
      </c>
      <c r="V501" s="1285">
        <f t="shared" si="89"/>
        <v>0</v>
      </c>
    </row>
    <row r="502" spans="2:22" ht="36" outlineLevel="1">
      <c r="B502" s="1278" t="s">
        <v>1897</v>
      </c>
      <c r="C502" s="1278" t="s">
        <v>1194</v>
      </c>
      <c r="D502" s="1291" t="s">
        <v>1209</v>
      </c>
      <c r="E502" s="1291" t="s">
        <v>1210</v>
      </c>
      <c r="F502" s="1281">
        <v>3708</v>
      </c>
      <c r="G502" s="1338"/>
      <c r="H502" s="1282">
        <f t="shared" si="81"/>
        <v>0</v>
      </c>
      <c r="I502" s="1338"/>
      <c r="J502" s="1282">
        <f t="shared" si="82"/>
        <v>0</v>
      </c>
      <c r="K502" s="1338"/>
      <c r="L502" s="1282">
        <f t="shared" si="83"/>
        <v>0</v>
      </c>
      <c r="M502" s="1338"/>
      <c r="N502" s="1282">
        <f t="shared" si="84"/>
        <v>0</v>
      </c>
      <c r="O502" s="1338"/>
      <c r="P502" s="1282">
        <f t="shared" si="85"/>
        <v>0</v>
      </c>
      <c r="Q502" s="1338"/>
      <c r="R502" s="1282">
        <f t="shared" si="86"/>
        <v>0</v>
      </c>
      <c r="S502" s="1338"/>
      <c r="T502" s="1283">
        <f t="shared" si="87"/>
        <v>0</v>
      </c>
      <c r="U502" s="1284">
        <f t="shared" si="88"/>
        <v>0</v>
      </c>
      <c r="V502" s="1285">
        <f t="shared" si="89"/>
        <v>0</v>
      </c>
    </row>
    <row r="503" spans="2:22" ht="36" outlineLevel="1">
      <c r="B503" s="1278" t="s">
        <v>1898</v>
      </c>
      <c r="C503" s="1278" t="s">
        <v>1194</v>
      </c>
      <c r="D503" s="1291" t="s">
        <v>1211</v>
      </c>
      <c r="E503" s="1291" t="s">
        <v>1212</v>
      </c>
      <c r="F503" s="1281">
        <v>3708</v>
      </c>
      <c r="G503" s="1338"/>
      <c r="H503" s="1282">
        <f t="shared" si="81"/>
        <v>0</v>
      </c>
      <c r="I503" s="1338"/>
      <c r="J503" s="1282">
        <f t="shared" si="82"/>
        <v>0</v>
      </c>
      <c r="K503" s="1338"/>
      <c r="L503" s="1282">
        <f t="shared" si="83"/>
        <v>0</v>
      </c>
      <c r="M503" s="1338"/>
      <c r="N503" s="1282">
        <f t="shared" si="84"/>
        <v>0</v>
      </c>
      <c r="O503" s="1338"/>
      <c r="P503" s="1282">
        <f t="shared" si="85"/>
        <v>0</v>
      </c>
      <c r="Q503" s="1338"/>
      <c r="R503" s="1282">
        <f t="shared" si="86"/>
        <v>0</v>
      </c>
      <c r="S503" s="1338"/>
      <c r="T503" s="1283">
        <f t="shared" si="87"/>
        <v>0</v>
      </c>
      <c r="U503" s="1284">
        <f t="shared" si="88"/>
        <v>0</v>
      </c>
      <c r="V503" s="1285">
        <f t="shared" si="89"/>
        <v>0</v>
      </c>
    </row>
    <row r="504" spans="2:22" ht="24" outlineLevel="1">
      <c r="B504" s="1278" t="s">
        <v>1899</v>
      </c>
      <c r="C504" s="1278" t="s">
        <v>1194</v>
      </c>
      <c r="D504" s="1291" t="s">
        <v>1213</v>
      </c>
      <c r="E504" s="1291" t="s">
        <v>1214</v>
      </c>
      <c r="F504" s="1281">
        <v>1236</v>
      </c>
      <c r="G504" s="1338"/>
      <c r="H504" s="1282">
        <f t="shared" si="81"/>
        <v>0</v>
      </c>
      <c r="I504" s="1338"/>
      <c r="J504" s="1282">
        <f t="shared" si="82"/>
        <v>0</v>
      </c>
      <c r="K504" s="1338"/>
      <c r="L504" s="1282">
        <f t="shared" si="83"/>
        <v>0</v>
      </c>
      <c r="M504" s="1338"/>
      <c r="N504" s="1282">
        <f t="shared" si="84"/>
        <v>0</v>
      </c>
      <c r="O504" s="1338"/>
      <c r="P504" s="1282">
        <f t="shared" si="85"/>
        <v>0</v>
      </c>
      <c r="Q504" s="1338"/>
      <c r="R504" s="1282">
        <f t="shared" si="86"/>
        <v>0</v>
      </c>
      <c r="S504" s="1338"/>
      <c r="T504" s="1283">
        <f t="shared" si="87"/>
        <v>0</v>
      </c>
      <c r="U504" s="1284">
        <f t="shared" si="88"/>
        <v>0</v>
      </c>
      <c r="V504" s="1285">
        <f t="shared" si="89"/>
        <v>0</v>
      </c>
    </row>
    <row r="505" spans="2:22" ht="24" outlineLevel="1">
      <c r="B505" s="1278" t="s">
        <v>1900</v>
      </c>
      <c r="C505" s="1278" t="s">
        <v>1194</v>
      </c>
      <c r="D505" s="1291" t="s">
        <v>1215</v>
      </c>
      <c r="E505" s="1291" t="s">
        <v>1216</v>
      </c>
      <c r="F505" s="1281">
        <v>1236</v>
      </c>
      <c r="G505" s="1338"/>
      <c r="H505" s="1282">
        <f t="shared" si="81"/>
        <v>0</v>
      </c>
      <c r="I505" s="1338"/>
      <c r="J505" s="1282">
        <f t="shared" si="82"/>
        <v>0</v>
      </c>
      <c r="K505" s="1338"/>
      <c r="L505" s="1282">
        <f t="shared" si="83"/>
        <v>0</v>
      </c>
      <c r="M505" s="1338"/>
      <c r="N505" s="1282">
        <f t="shared" si="84"/>
        <v>0</v>
      </c>
      <c r="O505" s="1338"/>
      <c r="P505" s="1282">
        <f t="shared" si="85"/>
        <v>0</v>
      </c>
      <c r="Q505" s="1338"/>
      <c r="R505" s="1282">
        <f t="shared" si="86"/>
        <v>0</v>
      </c>
      <c r="S505" s="1338"/>
      <c r="T505" s="1283">
        <f t="shared" si="87"/>
        <v>0</v>
      </c>
      <c r="U505" s="1284">
        <f t="shared" si="88"/>
        <v>0</v>
      </c>
      <c r="V505" s="1285">
        <f t="shared" si="89"/>
        <v>0</v>
      </c>
    </row>
    <row r="506" spans="2:22" ht="24" outlineLevel="1">
      <c r="B506" s="1278" t="s">
        <v>1901</v>
      </c>
      <c r="C506" s="1278" t="s">
        <v>1194</v>
      </c>
      <c r="D506" s="1291" t="s">
        <v>1217</v>
      </c>
      <c r="E506" s="1291" t="s">
        <v>1218</v>
      </c>
      <c r="F506" s="1281">
        <v>1236</v>
      </c>
      <c r="G506" s="1338"/>
      <c r="H506" s="1282">
        <f t="shared" si="81"/>
        <v>0</v>
      </c>
      <c r="I506" s="1338"/>
      <c r="J506" s="1282">
        <f t="shared" si="82"/>
        <v>0</v>
      </c>
      <c r="K506" s="1338"/>
      <c r="L506" s="1282">
        <f t="shared" si="83"/>
        <v>0</v>
      </c>
      <c r="M506" s="1338"/>
      <c r="N506" s="1282">
        <f t="shared" si="84"/>
        <v>0</v>
      </c>
      <c r="O506" s="1338"/>
      <c r="P506" s="1282">
        <f t="shared" si="85"/>
        <v>0</v>
      </c>
      <c r="Q506" s="1338"/>
      <c r="R506" s="1282">
        <f t="shared" si="86"/>
        <v>0</v>
      </c>
      <c r="S506" s="1338"/>
      <c r="T506" s="1283">
        <f t="shared" si="87"/>
        <v>0</v>
      </c>
      <c r="U506" s="1284">
        <f t="shared" si="88"/>
        <v>0</v>
      </c>
      <c r="V506" s="1285">
        <f t="shared" si="89"/>
        <v>0</v>
      </c>
    </row>
    <row r="507" spans="2:22" ht="24" outlineLevel="1">
      <c r="B507" s="1278" t="s">
        <v>1902</v>
      </c>
      <c r="C507" s="1278" t="s">
        <v>1194</v>
      </c>
      <c r="D507" s="1291" t="s">
        <v>1219</v>
      </c>
      <c r="E507" s="1291" t="s">
        <v>1220</v>
      </c>
      <c r="F507" s="1281">
        <v>1236</v>
      </c>
      <c r="G507" s="1338"/>
      <c r="H507" s="1282">
        <f t="shared" si="81"/>
        <v>0</v>
      </c>
      <c r="I507" s="1338"/>
      <c r="J507" s="1282">
        <f t="shared" si="82"/>
        <v>0</v>
      </c>
      <c r="K507" s="1338"/>
      <c r="L507" s="1282">
        <f t="shared" si="83"/>
        <v>0</v>
      </c>
      <c r="M507" s="1338"/>
      <c r="N507" s="1282">
        <f t="shared" si="84"/>
        <v>0</v>
      </c>
      <c r="O507" s="1338"/>
      <c r="P507" s="1282">
        <f t="shared" si="85"/>
        <v>0</v>
      </c>
      <c r="Q507" s="1338"/>
      <c r="R507" s="1282">
        <f t="shared" si="86"/>
        <v>0</v>
      </c>
      <c r="S507" s="1338"/>
      <c r="T507" s="1283">
        <f t="shared" si="87"/>
        <v>0</v>
      </c>
      <c r="U507" s="1284">
        <f t="shared" si="88"/>
        <v>0</v>
      </c>
      <c r="V507" s="1285">
        <f t="shared" si="89"/>
        <v>0</v>
      </c>
    </row>
    <row r="508" spans="2:22" ht="24" outlineLevel="1">
      <c r="B508" s="1278" t="s">
        <v>1903</v>
      </c>
      <c r="C508" s="1278" t="s">
        <v>1194</v>
      </c>
      <c r="D508" s="1291" t="s">
        <v>1221</v>
      </c>
      <c r="E508" s="1291" t="s">
        <v>1222</v>
      </c>
      <c r="F508" s="1281">
        <v>1236</v>
      </c>
      <c r="G508" s="1338"/>
      <c r="H508" s="1282">
        <f t="shared" si="81"/>
        <v>0</v>
      </c>
      <c r="I508" s="1338"/>
      <c r="J508" s="1282">
        <f t="shared" si="82"/>
        <v>0</v>
      </c>
      <c r="K508" s="1338"/>
      <c r="L508" s="1282">
        <f t="shared" si="83"/>
        <v>0</v>
      </c>
      <c r="M508" s="1338"/>
      <c r="N508" s="1282">
        <f t="shared" si="84"/>
        <v>0</v>
      </c>
      <c r="O508" s="1338"/>
      <c r="P508" s="1282">
        <f t="shared" si="85"/>
        <v>0</v>
      </c>
      <c r="Q508" s="1338"/>
      <c r="R508" s="1282">
        <f t="shared" si="86"/>
        <v>0</v>
      </c>
      <c r="S508" s="1338"/>
      <c r="T508" s="1283">
        <f t="shared" si="87"/>
        <v>0</v>
      </c>
      <c r="U508" s="1284">
        <f t="shared" si="88"/>
        <v>0</v>
      </c>
      <c r="V508" s="1285">
        <f t="shared" si="89"/>
        <v>0</v>
      </c>
    </row>
    <row r="509" spans="2:22" ht="24" outlineLevel="1">
      <c r="B509" s="1278" t="s">
        <v>1904</v>
      </c>
      <c r="C509" s="1278" t="s">
        <v>1194</v>
      </c>
      <c r="D509" s="1291" t="s">
        <v>1223</v>
      </c>
      <c r="E509" s="1291" t="s">
        <v>1224</v>
      </c>
      <c r="F509" s="1281">
        <v>1236</v>
      </c>
      <c r="G509" s="1338"/>
      <c r="H509" s="1282">
        <f t="shared" si="81"/>
        <v>0</v>
      </c>
      <c r="I509" s="1338"/>
      <c r="J509" s="1282">
        <f t="shared" si="82"/>
        <v>0</v>
      </c>
      <c r="K509" s="1338"/>
      <c r="L509" s="1282">
        <f t="shared" si="83"/>
        <v>0</v>
      </c>
      <c r="M509" s="1338"/>
      <c r="N509" s="1282">
        <f t="shared" si="84"/>
        <v>0</v>
      </c>
      <c r="O509" s="1338"/>
      <c r="P509" s="1282">
        <f t="shared" si="85"/>
        <v>0</v>
      </c>
      <c r="Q509" s="1338"/>
      <c r="R509" s="1282">
        <f t="shared" si="86"/>
        <v>0</v>
      </c>
      <c r="S509" s="1338"/>
      <c r="T509" s="1283">
        <f t="shared" si="87"/>
        <v>0</v>
      </c>
      <c r="U509" s="1284">
        <f t="shared" si="88"/>
        <v>0</v>
      </c>
      <c r="V509" s="1285">
        <f t="shared" si="89"/>
        <v>0</v>
      </c>
    </row>
    <row r="510" spans="2:22" ht="24" outlineLevel="1">
      <c r="B510" s="1278" t="s">
        <v>1905</v>
      </c>
      <c r="C510" s="1278" t="s">
        <v>1194</v>
      </c>
      <c r="D510" s="1322" t="s">
        <v>1225</v>
      </c>
      <c r="E510" s="1291" t="s">
        <v>1226</v>
      </c>
      <c r="F510" s="1281">
        <v>1236</v>
      </c>
      <c r="G510" s="1338"/>
      <c r="H510" s="1282">
        <f t="shared" si="81"/>
        <v>0</v>
      </c>
      <c r="I510" s="1338"/>
      <c r="J510" s="1282">
        <f t="shared" si="82"/>
        <v>0</v>
      </c>
      <c r="K510" s="1338"/>
      <c r="L510" s="1282">
        <f t="shared" si="83"/>
        <v>0</v>
      </c>
      <c r="M510" s="1338"/>
      <c r="N510" s="1282">
        <f t="shared" si="84"/>
        <v>0</v>
      </c>
      <c r="O510" s="1338"/>
      <c r="P510" s="1282">
        <f t="shared" si="85"/>
        <v>0</v>
      </c>
      <c r="Q510" s="1338"/>
      <c r="R510" s="1282">
        <f t="shared" si="86"/>
        <v>0</v>
      </c>
      <c r="S510" s="1338"/>
      <c r="T510" s="1283">
        <f t="shared" si="87"/>
        <v>0</v>
      </c>
      <c r="U510" s="1284">
        <f t="shared" si="88"/>
        <v>0</v>
      </c>
      <c r="V510" s="1285">
        <f t="shared" si="89"/>
        <v>0</v>
      </c>
    </row>
    <row r="511" spans="2:22" ht="24" outlineLevel="1">
      <c r="B511" s="1278" t="s">
        <v>1906</v>
      </c>
      <c r="C511" s="1278" t="s">
        <v>1194</v>
      </c>
      <c r="D511" s="1291" t="s">
        <v>1227</v>
      </c>
      <c r="E511" s="1291" t="s">
        <v>1228</v>
      </c>
      <c r="F511" s="1281">
        <v>1236</v>
      </c>
      <c r="G511" s="1338"/>
      <c r="H511" s="1282">
        <f t="shared" ref="H511:H558" si="90">F511*G511</f>
        <v>0</v>
      </c>
      <c r="I511" s="1338"/>
      <c r="J511" s="1282">
        <f t="shared" si="82"/>
        <v>0</v>
      </c>
      <c r="K511" s="1338"/>
      <c r="L511" s="1282">
        <f t="shared" si="83"/>
        <v>0</v>
      </c>
      <c r="M511" s="1338"/>
      <c r="N511" s="1282">
        <f t="shared" si="84"/>
        <v>0</v>
      </c>
      <c r="O511" s="1338"/>
      <c r="P511" s="1282">
        <f t="shared" si="85"/>
        <v>0</v>
      </c>
      <c r="Q511" s="1338"/>
      <c r="R511" s="1282">
        <f t="shared" si="86"/>
        <v>0</v>
      </c>
      <c r="S511" s="1338"/>
      <c r="T511" s="1283">
        <f t="shared" si="87"/>
        <v>0</v>
      </c>
      <c r="U511" s="1284">
        <f t="shared" si="88"/>
        <v>0</v>
      </c>
      <c r="V511" s="1285">
        <f t="shared" si="89"/>
        <v>0</v>
      </c>
    </row>
    <row r="512" spans="2:22" ht="24" outlineLevel="1">
      <c r="B512" s="1278" t="s">
        <v>1907</v>
      </c>
      <c r="C512" s="1278" t="s">
        <v>1194</v>
      </c>
      <c r="D512" s="1291" t="s">
        <v>1229</v>
      </c>
      <c r="E512" s="1291" t="s">
        <v>1230</v>
      </c>
      <c r="F512" s="1281">
        <v>2472</v>
      </c>
      <c r="G512" s="1338"/>
      <c r="H512" s="1282">
        <f t="shared" si="90"/>
        <v>0</v>
      </c>
      <c r="I512" s="1338"/>
      <c r="J512" s="1282">
        <f t="shared" ref="J512:J558" si="91">F512*I512</f>
        <v>0</v>
      </c>
      <c r="K512" s="1338"/>
      <c r="L512" s="1282">
        <f t="shared" ref="L512:L558" si="92">F512*K512</f>
        <v>0</v>
      </c>
      <c r="M512" s="1338"/>
      <c r="N512" s="1282">
        <f t="shared" ref="N512:N558" si="93">F512*M512</f>
        <v>0</v>
      </c>
      <c r="O512" s="1338"/>
      <c r="P512" s="1282">
        <f t="shared" ref="P512:P558" si="94">F512*O512</f>
        <v>0</v>
      </c>
      <c r="Q512" s="1338"/>
      <c r="R512" s="1282">
        <f t="shared" ref="R512:R558" si="95">F512*Q512</f>
        <v>0</v>
      </c>
      <c r="S512" s="1338"/>
      <c r="T512" s="1283">
        <f t="shared" ref="T512:T558" si="96">F512*S512</f>
        <v>0</v>
      </c>
      <c r="U512" s="1284">
        <f t="shared" si="88"/>
        <v>0</v>
      </c>
      <c r="V512" s="1285">
        <f t="shared" si="89"/>
        <v>0</v>
      </c>
    </row>
    <row r="513" spans="2:22" ht="24" outlineLevel="1">
      <c r="B513" s="1278" t="s">
        <v>1908</v>
      </c>
      <c r="C513" s="1278" t="s">
        <v>1194</v>
      </c>
      <c r="D513" s="1291" t="s">
        <v>1231</v>
      </c>
      <c r="E513" s="1291" t="s">
        <v>1232</v>
      </c>
      <c r="F513" s="1281">
        <v>3708</v>
      </c>
      <c r="G513" s="1338"/>
      <c r="H513" s="1282">
        <f t="shared" si="90"/>
        <v>0</v>
      </c>
      <c r="I513" s="1338"/>
      <c r="J513" s="1282">
        <f t="shared" si="91"/>
        <v>0</v>
      </c>
      <c r="K513" s="1338"/>
      <c r="L513" s="1282">
        <f t="shared" si="92"/>
        <v>0</v>
      </c>
      <c r="M513" s="1338"/>
      <c r="N513" s="1282">
        <f t="shared" si="93"/>
        <v>0</v>
      </c>
      <c r="O513" s="1338"/>
      <c r="P513" s="1282">
        <f t="shared" si="94"/>
        <v>0</v>
      </c>
      <c r="Q513" s="1338"/>
      <c r="R513" s="1282">
        <f t="shared" si="95"/>
        <v>0</v>
      </c>
      <c r="S513" s="1338"/>
      <c r="T513" s="1283">
        <f t="shared" si="96"/>
        <v>0</v>
      </c>
      <c r="U513" s="1284">
        <f t="shared" si="88"/>
        <v>0</v>
      </c>
      <c r="V513" s="1285">
        <f t="shared" si="89"/>
        <v>0</v>
      </c>
    </row>
    <row r="514" spans="2:22" ht="24" customHeight="1" outlineLevel="1">
      <c r="B514" s="1278" t="s">
        <v>1909</v>
      </c>
      <c r="C514" s="1278" t="s">
        <v>1194</v>
      </c>
      <c r="D514" s="1291" t="s">
        <v>1233</v>
      </c>
      <c r="E514" s="1291" t="s">
        <v>1234</v>
      </c>
      <c r="F514" s="1281">
        <v>1236</v>
      </c>
      <c r="G514" s="1338"/>
      <c r="H514" s="1282">
        <f t="shared" si="90"/>
        <v>0</v>
      </c>
      <c r="I514" s="1338"/>
      <c r="J514" s="1282">
        <f t="shared" si="91"/>
        <v>0</v>
      </c>
      <c r="K514" s="1338"/>
      <c r="L514" s="1282">
        <f t="shared" si="92"/>
        <v>0</v>
      </c>
      <c r="M514" s="1338"/>
      <c r="N514" s="1282">
        <f t="shared" si="93"/>
        <v>0</v>
      </c>
      <c r="O514" s="1338"/>
      <c r="P514" s="1282">
        <f t="shared" si="94"/>
        <v>0</v>
      </c>
      <c r="Q514" s="1338"/>
      <c r="R514" s="1282">
        <f t="shared" si="95"/>
        <v>0</v>
      </c>
      <c r="S514" s="1338"/>
      <c r="T514" s="1283">
        <f t="shared" si="96"/>
        <v>0</v>
      </c>
      <c r="U514" s="1284">
        <f t="shared" si="88"/>
        <v>0</v>
      </c>
      <c r="V514" s="1285">
        <f t="shared" si="89"/>
        <v>0</v>
      </c>
    </row>
    <row r="515" spans="2:22" ht="36" outlineLevel="1">
      <c r="B515" s="1278" t="s">
        <v>1910</v>
      </c>
      <c r="C515" s="1278" t="s">
        <v>1194</v>
      </c>
      <c r="D515" s="1291" t="s">
        <v>1235</v>
      </c>
      <c r="E515" s="1291" t="s">
        <v>1236</v>
      </c>
      <c r="F515" s="1281">
        <v>2472</v>
      </c>
      <c r="G515" s="1338"/>
      <c r="H515" s="1282">
        <f t="shared" si="90"/>
        <v>0</v>
      </c>
      <c r="I515" s="1338"/>
      <c r="J515" s="1282">
        <f t="shared" si="91"/>
        <v>0</v>
      </c>
      <c r="K515" s="1338"/>
      <c r="L515" s="1282">
        <f t="shared" si="92"/>
        <v>0</v>
      </c>
      <c r="M515" s="1338"/>
      <c r="N515" s="1282">
        <f t="shared" si="93"/>
        <v>0</v>
      </c>
      <c r="O515" s="1338"/>
      <c r="P515" s="1282">
        <f t="shared" si="94"/>
        <v>0</v>
      </c>
      <c r="Q515" s="1338"/>
      <c r="R515" s="1282">
        <f t="shared" si="95"/>
        <v>0</v>
      </c>
      <c r="S515" s="1338"/>
      <c r="T515" s="1283">
        <f t="shared" si="96"/>
        <v>0</v>
      </c>
      <c r="U515" s="1284">
        <f t="shared" si="88"/>
        <v>0</v>
      </c>
      <c r="V515" s="1285">
        <f t="shared" si="89"/>
        <v>0</v>
      </c>
    </row>
    <row r="516" spans="2:22" ht="36" outlineLevel="1">
      <c r="B516" s="1278" t="s">
        <v>1911</v>
      </c>
      <c r="C516" s="1278" t="s">
        <v>1194</v>
      </c>
      <c r="D516" s="1291" t="s">
        <v>1237</v>
      </c>
      <c r="E516" s="1291" t="s">
        <v>1238</v>
      </c>
      <c r="F516" s="1281">
        <v>3708</v>
      </c>
      <c r="G516" s="1338"/>
      <c r="H516" s="1282">
        <f t="shared" si="90"/>
        <v>0</v>
      </c>
      <c r="I516" s="1338"/>
      <c r="J516" s="1282">
        <f t="shared" si="91"/>
        <v>0</v>
      </c>
      <c r="K516" s="1338"/>
      <c r="L516" s="1282">
        <f t="shared" si="92"/>
        <v>0</v>
      </c>
      <c r="M516" s="1338"/>
      <c r="N516" s="1282">
        <f t="shared" si="93"/>
        <v>0</v>
      </c>
      <c r="O516" s="1338"/>
      <c r="P516" s="1282">
        <f t="shared" si="94"/>
        <v>0</v>
      </c>
      <c r="Q516" s="1338"/>
      <c r="R516" s="1282">
        <f t="shared" si="95"/>
        <v>0</v>
      </c>
      <c r="S516" s="1338"/>
      <c r="T516" s="1283">
        <f t="shared" si="96"/>
        <v>0</v>
      </c>
      <c r="U516" s="1284">
        <f t="shared" si="88"/>
        <v>0</v>
      </c>
      <c r="V516" s="1285">
        <f t="shared" si="89"/>
        <v>0</v>
      </c>
    </row>
    <row r="517" spans="2:22" ht="36" outlineLevel="1">
      <c r="B517" s="1278" t="s">
        <v>1912</v>
      </c>
      <c r="C517" s="1278" t="s">
        <v>1194</v>
      </c>
      <c r="D517" s="1291" t="s">
        <v>1239</v>
      </c>
      <c r="E517" s="1291" t="s">
        <v>1240</v>
      </c>
      <c r="F517" s="1281">
        <v>1236</v>
      </c>
      <c r="G517" s="1338"/>
      <c r="H517" s="1282">
        <f t="shared" si="90"/>
        <v>0</v>
      </c>
      <c r="I517" s="1338"/>
      <c r="J517" s="1282">
        <f t="shared" si="91"/>
        <v>0</v>
      </c>
      <c r="K517" s="1338"/>
      <c r="L517" s="1282">
        <f t="shared" si="92"/>
        <v>0</v>
      </c>
      <c r="M517" s="1338"/>
      <c r="N517" s="1282">
        <f t="shared" si="93"/>
        <v>0</v>
      </c>
      <c r="O517" s="1338"/>
      <c r="P517" s="1282">
        <f t="shared" si="94"/>
        <v>0</v>
      </c>
      <c r="Q517" s="1338"/>
      <c r="R517" s="1282">
        <f t="shared" si="95"/>
        <v>0</v>
      </c>
      <c r="S517" s="1338"/>
      <c r="T517" s="1283">
        <f t="shared" si="96"/>
        <v>0</v>
      </c>
      <c r="U517" s="1284">
        <f t="shared" si="88"/>
        <v>0</v>
      </c>
      <c r="V517" s="1285">
        <f t="shared" si="89"/>
        <v>0</v>
      </c>
    </row>
    <row r="518" spans="2:22" ht="36" outlineLevel="1">
      <c r="B518" s="1278" t="s">
        <v>1913</v>
      </c>
      <c r="C518" s="1278" t="s">
        <v>1194</v>
      </c>
      <c r="D518" s="1291" t="s">
        <v>1241</v>
      </c>
      <c r="E518" s="1291" t="s">
        <v>1242</v>
      </c>
      <c r="F518" s="1281">
        <v>2472</v>
      </c>
      <c r="G518" s="1338"/>
      <c r="H518" s="1282">
        <f t="shared" si="90"/>
        <v>0</v>
      </c>
      <c r="I518" s="1338"/>
      <c r="J518" s="1282">
        <f t="shared" si="91"/>
        <v>0</v>
      </c>
      <c r="K518" s="1338"/>
      <c r="L518" s="1282">
        <f t="shared" si="92"/>
        <v>0</v>
      </c>
      <c r="M518" s="1338"/>
      <c r="N518" s="1282">
        <f t="shared" si="93"/>
        <v>0</v>
      </c>
      <c r="O518" s="1338"/>
      <c r="P518" s="1282">
        <f t="shared" si="94"/>
        <v>0</v>
      </c>
      <c r="Q518" s="1338"/>
      <c r="R518" s="1282">
        <f t="shared" si="95"/>
        <v>0</v>
      </c>
      <c r="S518" s="1338"/>
      <c r="T518" s="1283">
        <f t="shared" si="96"/>
        <v>0</v>
      </c>
      <c r="U518" s="1284">
        <f t="shared" si="88"/>
        <v>0</v>
      </c>
      <c r="V518" s="1285">
        <f t="shared" si="89"/>
        <v>0</v>
      </c>
    </row>
    <row r="519" spans="2:22" ht="36" outlineLevel="1">
      <c r="B519" s="1278" t="s">
        <v>1914</v>
      </c>
      <c r="C519" s="1278" t="s">
        <v>1194</v>
      </c>
      <c r="D519" s="1291" t="s">
        <v>1243</v>
      </c>
      <c r="E519" s="1291" t="s">
        <v>1244</v>
      </c>
      <c r="F519" s="1281">
        <v>3708</v>
      </c>
      <c r="G519" s="1338"/>
      <c r="H519" s="1282">
        <f t="shared" si="90"/>
        <v>0</v>
      </c>
      <c r="I519" s="1338"/>
      <c r="J519" s="1282">
        <f t="shared" si="91"/>
        <v>0</v>
      </c>
      <c r="K519" s="1338"/>
      <c r="L519" s="1282">
        <f t="shared" si="92"/>
        <v>0</v>
      </c>
      <c r="M519" s="1338"/>
      <c r="N519" s="1282">
        <f t="shared" si="93"/>
        <v>0</v>
      </c>
      <c r="O519" s="1338"/>
      <c r="P519" s="1282">
        <f t="shared" si="94"/>
        <v>0</v>
      </c>
      <c r="Q519" s="1338"/>
      <c r="R519" s="1282">
        <f t="shared" si="95"/>
        <v>0</v>
      </c>
      <c r="S519" s="1338"/>
      <c r="T519" s="1283">
        <f t="shared" si="96"/>
        <v>0</v>
      </c>
      <c r="U519" s="1284">
        <f t="shared" si="88"/>
        <v>0</v>
      </c>
      <c r="V519" s="1285">
        <f t="shared" si="89"/>
        <v>0</v>
      </c>
    </row>
    <row r="520" spans="2:22" ht="36" outlineLevel="1">
      <c r="B520" s="1278" t="s">
        <v>1915</v>
      </c>
      <c r="C520" s="1278" t="s">
        <v>1194</v>
      </c>
      <c r="D520" s="1291" t="s">
        <v>1245</v>
      </c>
      <c r="E520" s="1291" t="s">
        <v>1246</v>
      </c>
      <c r="F520" s="1281">
        <v>4944</v>
      </c>
      <c r="G520" s="1338"/>
      <c r="H520" s="1282">
        <f t="shared" si="90"/>
        <v>0</v>
      </c>
      <c r="I520" s="1338"/>
      <c r="J520" s="1282">
        <f t="shared" si="91"/>
        <v>0</v>
      </c>
      <c r="K520" s="1338"/>
      <c r="L520" s="1282">
        <f t="shared" si="92"/>
        <v>0</v>
      </c>
      <c r="M520" s="1338"/>
      <c r="N520" s="1282">
        <f t="shared" si="93"/>
        <v>0</v>
      </c>
      <c r="O520" s="1338"/>
      <c r="P520" s="1282">
        <f t="shared" si="94"/>
        <v>0</v>
      </c>
      <c r="Q520" s="1338"/>
      <c r="R520" s="1282">
        <f t="shared" si="95"/>
        <v>0</v>
      </c>
      <c r="S520" s="1338"/>
      <c r="T520" s="1283">
        <f t="shared" si="96"/>
        <v>0</v>
      </c>
      <c r="U520" s="1284">
        <f t="shared" si="88"/>
        <v>0</v>
      </c>
      <c r="V520" s="1285">
        <f t="shared" si="89"/>
        <v>0</v>
      </c>
    </row>
    <row r="521" spans="2:22" ht="36" outlineLevel="1">
      <c r="B521" s="1278" t="s">
        <v>1916</v>
      </c>
      <c r="C521" s="1278" t="s">
        <v>1194</v>
      </c>
      <c r="D521" s="1291" t="s">
        <v>1247</v>
      </c>
      <c r="E521" s="1291" t="s">
        <v>1248</v>
      </c>
      <c r="F521" s="1281">
        <v>6180</v>
      </c>
      <c r="G521" s="1338"/>
      <c r="H521" s="1282">
        <f t="shared" si="90"/>
        <v>0</v>
      </c>
      <c r="I521" s="1338"/>
      <c r="J521" s="1282">
        <f t="shared" si="91"/>
        <v>0</v>
      </c>
      <c r="K521" s="1338"/>
      <c r="L521" s="1282">
        <f t="shared" si="92"/>
        <v>0</v>
      </c>
      <c r="M521" s="1338"/>
      <c r="N521" s="1282">
        <f t="shared" si="93"/>
        <v>0</v>
      </c>
      <c r="O521" s="1338"/>
      <c r="P521" s="1282">
        <f t="shared" si="94"/>
        <v>0</v>
      </c>
      <c r="Q521" s="1338"/>
      <c r="R521" s="1282">
        <f t="shared" si="95"/>
        <v>0</v>
      </c>
      <c r="S521" s="1338"/>
      <c r="T521" s="1283">
        <f t="shared" si="96"/>
        <v>0</v>
      </c>
      <c r="U521" s="1284">
        <f t="shared" si="88"/>
        <v>0</v>
      </c>
      <c r="V521" s="1285">
        <f t="shared" si="89"/>
        <v>0</v>
      </c>
    </row>
    <row r="522" spans="2:22" ht="36" outlineLevel="1">
      <c r="B522" s="1278" t="s">
        <v>1917</v>
      </c>
      <c r="C522" s="1278" t="s">
        <v>1194</v>
      </c>
      <c r="D522" s="1291" t="s">
        <v>1249</v>
      </c>
      <c r="E522" s="1291" t="s">
        <v>1250</v>
      </c>
      <c r="F522" s="1281">
        <v>7416</v>
      </c>
      <c r="G522" s="1338"/>
      <c r="H522" s="1282">
        <f t="shared" si="90"/>
        <v>0</v>
      </c>
      <c r="I522" s="1338"/>
      <c r="J522" s="1282">
        <f t="shared" si="91"/>
        <v>0</v>
      </c>
      <c r="K522" s="1338"/>
      <c r="L522" s="1282">
        <f t="shared" si="92"/>
        <v>0</v>
      </c>
      <c r="M522" s="1338"/>
      <c r="N522" s="1282">
        <f t="shared" si="93"/>
        <v>0</v>
      </c>
      <c r="O522" s="1338"/>
      <c r="P522" s="1282">
        <f t="shared" si="94"/>
        <v>0</v>
      </c>
      <c r="Q522" s="1338"/>
      <c r="R522" s="1282">
        <f t="shared" si="95"/>
        <v>0</v>
      </c>
      <c r="S522" s="1338"/>
      <c r="T522" s="1283">
        <f t="shared" si="96"/>
        <v>0</v>
      </c>
      <c r="U522" s="1284">
        <f t="shared" si="88"/>
        <v>0</v>
      </c>
      <c r="V522" s="1285">
        <f t="shared" si="89"/>
        <v>0</v>
      </c>
    </row>
    <row r="523" spans="2:22" ht="24" outlineLevel="1">
      <c r="B523" s="1278" t="s">
        <v>1918</v>
      </c>
      <c r="C523" s="1278" t="s">
        <v>1194</v>
      </c>
      <c r="D523" s="1291" t="s">
        <v>1251</v>
      </c>
      <c r="E523" s="1291" t="s">
        <v>1252</v>
      </c>
      <c r="F523" s="1281">
        <v>1236</v>
      </c>
      <c r="G523" s="1338"/>
      <c r="H523" s="1282">
        <f t="shared" si="90"/>
        <v>0</v>
      </c>
      <c r="I523" s="1338"/>
      <c r="J523" s="1282">
        <f t="shared" si="91"/>
        <v>0</v>
      </c>
      <c r="K523" s="1338"/>
      <c r="L523" s="1282">
        <f t="shared" si="92"/>
        <v>0</v>
      </c>
      <c r="M523" s="1338"/>
      <c r="N523" s="1282">
        <f t="shared" si="93"/>
        <v>0</v>
      </c>
      <c r="O523" s="1338"/>
      <c r="P523" s="1282">
        <f t="shared" si="94"/>
        <v>0</v>
      </c>
      <c r="Q523" s="1338"/>
      <c r="R523" s="1282">
        <f t="shared" si="95"/>
        <v>0</v>
      </c>
      <c r="S523" s="1338"/>
      <c r="T523" s="1283">
        <f t="shared" si="96"/>
        <v>0</v>
      </c>
      <c r="U523" s="1284">
        <f t="shared" si="88"/>
        <v>0</v>
      </c>
      <c r="V523" s="1285">
        <f t="shared" si="89"/>
        <v>0</v>
      </c>
    </row>
    <row r="524" spans="2:22" ht="36" outlineLevel="1">
      <c r="B524" s="1278" t="s">
        <v>1919</v>
      </c>
      <c r="C524" s="1278" t="s">
        <v>1194</v>
      </c>
      <c r="D524" s="1291" t="s">
        <v>1253</v>
      </c>
      <c r="E524" s="1291" t="s">
        <v>1254</v>
      </c>
      <c r="F524" s="1281">
        <v>2472</v>
      </c>
      <c r="G524" s="1338"/>
      <c r="H524" s="1282">
        <f t="shared" si="90"/>
        <v>0</v>
      </c>
      <c r="I524" s="1338"/>
      <c r="J524" s="1282">
        <f t="shared" si="91"/>
        <v>0</v>
      </c>
      <c r="K524" s="1338"/>
      <c r="L524" s="1282">
        <f t="shared" si="92"/>
        <v>0</v>
      </c>
      <c r="M524" s="1338"/>
      <c r="N524" s="1282">
        <f t="shared" si="93"/>
        <v>0</v>
      </c>
      <c r="O524" s="1338"/>
      <c r="P524" s="1282">
        <f t="shared" si="94"/>
        <v>0</v>
      </c>
      <c r="Q524" s="1338"/>
      <c r="R524" s="1282">
        <f t="shared" si="95"/>
        <v>0</v>
      </c>
      <c r="S524" s="1338"/>
      <c r="T524" s="1283">
        <f t="shared" si="96"/>
        <v>0</v>
      </c>
      <c r="U524" s="1284">
        <f t="shared" si="88"/>
        <v>0</v>
      </c>
      <c r="V524" s="1285">
        <f t="shared" si="89"/>
        <v>0</v>
      </c>
    </row>
    <row r="525" spans="2:22" ht="36" outlineLevel="1">
      <c r="B525" s="1278" t="s">
        <v>1920</v>
      </c>
      <c r="C525" s="1278" t="s">
        <v>1194</v>
      </c>
      <c r="D525" s="1291" t="s">
        <v>1255</v>
      </c>
      <c r="E525" s="1291" t="s">
        <v>1256</v>
      </c>
      <c r="F525" s="1281">
        <v>3708</v>
      </c>
      <c r="G525" s="1338"/>
      <c r="H525" s="1282">
        <f t="shared" si="90"/>
        <v>0</v>
      </c>
      <c r="I525" s="1338"/>
      <c r="J525" s="1282">
        <f t="shared" si="91"/>
        <v>0</v>
      </c>
      <c r="K525" s="1338"/>
      <c r="L525" s="1282">
        <f t="shared" si="92"/>
        <v>0</v>
      </c>
      <c r="M525" s="1338"/>
      <c r="N525" s="1282">
        <f t="shared" si="93"/>
        <v>0</v>
      </c>
      <c r="O525" s="1338"/>
      <c r="P525" s="1282">
        <f t="shared" si="94"/>
        <v>0</v>
      </c>
      <c r="Q525" s="1338"/>
      <c r="R525" s="1282">
        <f t="shared" si="95"/>
        <v>0</v>
      </c>
      <c r="S525" s="1338"/>
      <c r="T525" s="1283">
        <f t="shared" si="96"/>
        <v>0</v>
      </c>
      <c r="U525" s="1284">
        <f t="shared" si="88"/>
        <v>0</v>
      </c>
      <c r="V525" s="1285">
        <f t="shared" si="89"/>
        <v>0</v>
      </c>
    </row>
    <row r="526" spans="2:22" ht="24" customHeight="1" outlineLevel="1">
      <c r="B526" s="1278" t="s">
        <v>1921</v>
      </c>
      <c r="C526" s="1278" t="s">
        <v>1194</v>
      </c>
      <c r="D526" s="1291" t="s">
        <v>1257</v>
      </c>
      <c r="E526" s="1291" t="s">
        <v>1258</v>
      </c>
      <c r="F526" s="1281">
        <v>4944</v>
      </c>
      <c r="G526" s="1338"/>
      <c r="H526" s="1282">
        <f t="shared" si="90"/>
        <v>0</v>
      </c>
      <c r="I526" s="1338"/>
      <c r="J526" s="1282">
        <f t="shared" si="91"/>
        <v>0</v>
      </c>
      <c r="K526" s="1338"/>
      <c r="L526" s="1282">
        <f t="shared" si="92"/>
        <v>0</v>
      </c>
      <c r="M526" s="1338"/>
      <c r="N526" s="1282">
        <f t="shared" si="93"/>
        <v>0</v>
      </c>
      <c r="O526" s="1338"/>
      <c r="P526" s="1282">
        <f t="shared" si="94"/>
        <v>0</v>
      </c>
      <c r="Q526" s="1338"/>
      <c r="R526" s="1282">
        <f t="shared" si="95"/>
        <v>0</v>
      </c>
      <c r="S526" s="1338"/>
      <c r="T526" s="1283">
        <f t="shared" si="96"/>
        <v>0</v>
      </c>
      <c r="U526" s="1284">
        <f t="shared" si="88"/>
        <v>0</v>
      </c>
      <c r="V526" s="1285">
        <f t="shared" si="89"/>
        <v>0</v>
      </c>
    </row>
    <row r="527" spans="2:22" ht="36" outlineLevel="1">
      <c r="B527" s="1278" t="s">
        <v>1922</v>
      </c>
      <c r="C527" s="1278" t="s">
        <v>1194</v>
      </c>
      <c r="D527" s="1291" t="s">
        <v>1259</v>
      </c>
      <c r="E527" s="1291" t="s">
        <v>1260</v>
      </c>
      <c r="F527" s="1281">
        <v>6180</v>
      </c>
      <c r="G527" s="1338"/>
      <c r="H527" s="1282">
        <f t="shared" si="90"/>
        <v>0</v>
      </c>
      <c r="I527" s="1338"/>
      <c r="J527" s="1282">
        <f t="shared" si="91"/>
        <v>0</v>
      </c>
      <c r="K527" s="1338"/>
      <c r="L527" s="1282">
        <f t="shared" si="92"/>
        <v>0</v>
      </c>
      <c r="M527" s="1338"/>
      <c r="N527" s="1282">
        <f t="shared" si="93"/>
        <v>0</v>
      </c>
      <c r="O527" s="1338"/>
      <c r="P527" s="1282">
        <f t="shared" si="94"/>
        <v>0</v>
      </c>
      <c r="Q527" s="1338"/>
      <c r="R527" s="1282">
        <f t="shared" si="95"/>
        <v>0</v>
      </c>
      <c r="S527" s="1338"/>
      <c r="T527" s="1283">
        <f t="shared" si="96"/>
        <v>0</v>
      </c>
      <c r="U527" s="1284">
        <f t="shared" si="88"/>
        <v>0</v>
      </c>
      <c r="V527" s="1285">
        <f t="shared" si="89"/>
        <v>0</v>
      </c>
    </row>
    <row r="528" spans="2:22" ht="36" outlineLevel="1">
      <c r="B528" s="1278" t="s">
        <v>1923</v>
      </c>
      <c r="C528" s="1278" t="s">
        <v>1194</v>
      </c>
      <c r="D528" s="1291" t="s">
        <v>1261</v>
      </c>
      <c r="E528" s="1291" t="s">
        <v>1262</v>
      </c>
      <c r="F528" s="1281">
        <v>7416</v>
      </c>
      <c r="G528" s="1338"/>
      <c r="H528" s="1282">
        <f t="shared" si="90"/>
        <v>0</v>
      </c>
      <c r="I528" s="1338"/>
      <c r="J528" s="1282">
        <f t="shared" si="91"/>
        <v>0</v>
      </c>
      <c r="K528" s="1338"/>
      <c r="L528" s="1282">
        <f t="shared" si="92"/>
        <v>0</v>
      </c>
      <c r="M528" s="1338"/>
      <c r="N528" s="1282">
        <f t="shared" si="93"/>
        <v>0</v>
      </c>
      <c r="O528" s="1338"/>
      <c r="P528" s="1282">
        <f t="shared" si="94"/>
        <v>0</v>
      </c>
      <c r="Q528" s="1338"/>
      <c r="R528" s="1282">
        <f t="shared" si="95"/>
        <v>0</v>
      </c>
      <c r="S528" s="1338"/>
      <c r="T528" s="1283">
        <f t="shared" si="96"/>
        <v>0</v>
      </c>
      <c r="U528" s="1284">
        <f t="shared" si="88"/>
        <v>0</v>
      </c>
      <c r="V528" s="1285">
        <f t="shared" si="89"/>
        <v>0</v>
      </c>
    </row>
    <row r="529" spans="2:22" ht="24" outlineLevel="1">
      <c r="B529" s="1278" t="s">
        <v>1924</v>
      </c>
      <c r="C529" s="1278" t="s">
        <v>1194</v>
      </c>
      <c r="D529" s="1291" t="s">
        <v>1263</v>
      </c>
      <c r="E529" s="1291" t="s">
        <v>1264</v>
      </c>
      <c r="F529" s="1281">
        <v>1236</v>
      </c>
      <c r="G529" s="1338"/>
      <c r="H529" s="1282">
        <f t="shared" si="90"/>
        <v>0</v>
      </c>
      <c r="I529" s="1338"/>
      <c r="J529" s="1282">
        <f t="shared" si="91"/>
        <v>0</v>
      </c>
      <c r="K529" s="1338"/>
      <c r="L529" s="1282">
        <f t="shared" si="92"/>
        <v>0</v>
      </c>
      <c r="M529" s="1338"/>
      <c r="N529" s="1282">
        <f t="shared" si="93"/>
        <v>0</v>
      </c>
      <c r="O529" s="1338"/>
      <c r="P529" s="1282">
        <f t="shared" si="94"/>
        <v>0</v>
      </c>
      <c r="Q529" s="1338"/>
      <c r="R529" s="1282">
        <f t="shared" si="95"/>
        <v>0</v>
      </c>
      <c r="S529" s="1338"/>
      <c r="T529" s="1283">
        <f t="shared" si="96"/>
        <v>0</v>
      </c>
      <c r="U529" s="1284">
        <f t="shared" si="88"/>
        <v>0</v>
      </c>
      <c r="V529" s="1285">
        <f t="shared" si="89"/>
        <v>0</v>
      </c>
    </row>
    <row r="530" spans="2:22" ht="24" customHeight="1" outlineLevel="1">
      <c r="B530" s="1278" t="s">
        <v>1925</v>
      </c>
      <c r="C530" s="1278" t="s">
        <v>1194</v>
      </c>
      <c r="D530" s="1291" t="s">
        <v>1265</v>
      </c>
      <c r="E530" s="1291" t="s">
        <v>1266</v>
      </c>
      <c r="F530" s="1281">
        <v>2472</v>
      </c>
      <c r="G530" s="1338"/>
      <c r="H530" s="1282">
        <f t="shared" si="90"/>
        <v>0</v>
      </c>
      <c r="I530" s="1338"/>
      <c r="J530" s="1282">
        <f t="shared" si="91"/>
        <v>0</v>
      </c>
      <c r="K530" s="1338"/>
      <c r="L530" s="1282">
        <f t="shared" si="92"/>
        <v>0</v>
      </c>
      <c r="M530" s="1338"/>
      <c r="N530" s="1282">
        <f t="shared" si="93"/>
        <v>0</v>
      </c>
      <c r="O530" s="1338"/>
      <c r="P530" s="1282">
        <f t="shared" si="94"/>
        <v>0</v>
      </c>
      <c r="Q530" s="1338"/>
      <c r="R530" s="1282">
        <f t="shared" si="95"/>
        <v>0</v>
      </c>
      <c r="S530" s="1338"/>
      <c r="T530" s="1283">
        <f t="shared" si="96"/>
        <v>0</v>
      </c>
      <c r="U530" s="1284">
        <f t="shared" si="88"/>
        <v>0</v>
      </c>
      <c r="V530" s="1285">
        <f t="shared" si="89"/>
        <v>0</v>
      </c>
    </row>
    <row r="531" spans="2:22" ht="24" outlineLevel="1">
      <c r="B531" s="1278" t="s">
        <v>1926</v>
      </c>
      <c r="C531" s="1278" t="s">
        <v>1194</v>
      </c>
      <c r="D531" s="1291" t="s">
        <v>1267</v>
      </c>
      <c r="E531" s="1291" t="s">
        <v>1268</v>
      </c>
      <c r="F531" s="1281">
        <v>3708</v>
      </c>
      <c r="G531" s="1338"/>
      <c r="H531" s="1282">
        <f t="shared" si="90"/>
        <v>0</v>
      </c>
      <c r="I531" s="1338"/>
      <c r="J531" s="1282">
        <f t="shared" si="91"/>
        <v>0</v>
      </c>
      <c r="K531" s="1338"/>
      <c r="L531" s="1282">
        <f t="shared" si="92"/>
        <v>0</v>
      </c>
      <c r="M531" s="1338"/>
      <c r="N531" s="1282">
        <f t="shared" si="93"/>
        <v>0</v>
      </c>
      <c r="O531" s="1338"/>
      <c r="P531" s="1282">
        <f t="shared" si="94"/>
        <v>0</v>
      </c>
      <c r="Q531" s="1338"/>
      <c r="R531" s="1282">
        <f t="shared" si="95"/>
        <v>0</v>
      </c>
      <c r="S531" s="1338"/>
      <c r="T531" s="1283">
        <f t="shared" si="96"/>
        <v>0</v>
      </c>
      <c r="U531" s="1284">
        <f t="shared" si="88"/>
        <v>0</v>
      </c>
      <c r="V531" s="1285">
        <f t="shared" si="89"/>
        <v>0</v>
      </c>
    </row>
    <row r="532" spans="2:22" ht="24" outlineLevel="1">
      <c r="B532" s="1278" t="s">
        <v>1927</v>
      </c>
      <c r="C532" s="1278" t="s">
        <v>1194</v>
      </c>
      <c r="D532" s="1291" t="s">
        <v>1269</v>
      </c>
      <c r="E532" s="1291" t="s">
        <v>1270</v>
      </c>
      <c r="F532" s="1281">
        <v>4944</v>
      </c>
      <c r="G532" s="1338"/>
      <c r="H532" s="1282">
        <f t="shared" si="90"/>
        <v>0</v>
      </c>
      <c r="I532" s="1338"/>
      <c r="J532" s="1282">
        <f t="shared" si="91"/>
        <v>0</v>
      </c>
      <c r="K532" s="1338"/>
      <c r="L532" s="1282">
        <f t="shared" si="92"/>
        <v>0</v>
      </c>
      <c r="M532" s="1338"/>
      <c r="N532" s="1282">
        <f t="shared" si="93"/>
        <v>0</v>
      </c>
      <c r="O532" s="1338"/>
      <c r="P532" s="1282">
        <f t="shared" si="94"/>
        <v>0</v>
      </c>
      <c r="Q532" s="1338"/>
      <c r="R532" s="1282">
        <f t="shared" si="95"/>
        <v>0</v>
      </c>
      <c r="S532" s="1338"/>
      <c r="T532" s="1283">
        <f t="shared" si="96"/>
        <v>0</v>
      </c>
      <c r="U532" s="1284">
        <f t="shared" si="88"/>
        <v>0</v>
      </c>
      <c r="V532" s="1285">
        <f t="shared" si="89"/>
        <v>0</v>
      </c>
    </row>
    <row r="533" spans="2:22" ht="24" outlineLevel="1">
      <c r="B533" s="1278" t="s">
        <v>1928</v>
      </c>
      <c r="C533" s="1278" t="s">
        <v>1194</v>
      </c>
      <c r="D533" s="1291" t="s">
        <v>1271</v>
      </c>
      <c r="E533" s="1291" t="s">
        <v>1272</v>
      </c>
      <c r="F533" s="1281">
        <v>6180</v>
      </c>
      <c r="G533" s="1338"/>
      <c r="H533" s="1282">
        <f t="shared" si="90"/>
        <v>0</v>
      </c>
      <c r="I533" s="1338"/>
      <c r="J533" s="1282">
        <f t="shared" si="91"/>
        <v>0</v>
      </c>
      <c r="K533" s="1338"/>
      <c r="L533" s="1282">
        <f t="shared" si="92"/>
        <v>0</v>
      </c>
      <c r="M533" s="1338"/>
      <c r="N533" s="1282">
        <f t="shared" si="93"/>
        <v>0</v>
      </c>
      <c r="O533" s="1338"/>
      <c r="P533" s="1282">
        <f t="shared" si="94"/>
        <v>0</v>
      </c>
      <c r="Q533" s="1338"/>
      <c r="R533" s="1282">
        <f t="shared" si="95"/>
        <v>0</v>
      </c>
      <c r="S533" s="1338"/>
      <c r="T533" s="1283">
        <f t="shared" si="96"/>
        <v>0</v>
      </c>
      <c r="U533" s="1284">
        <f t="shared" si="88"/>
        <v>0</v>
      </c>
      <c r="V533" s="1285">
        <f t="shared" si="89"/>
        <v>0</v>
      </c>
    </row>
    <row r="534" spans="2:22" ht="36" outlineLevel="1">
      <c r="B534" s="1278" t="s">
        <v>1929</v>
      </c>
      <c r="C534" s="1278" t="s">
        <v>1194</v>
      </c>
      <c r="D534" s="1291" t="s">
        <v>1273</v>
      </c>
      <c r="E534" s="1291" t="s">
        <v>1274</v>
      </c>
      <c r="F534" s="1281">
        <v>7416</v>
      </c>
      <c r="G534" s="1338"/>
      <c r="H534" s="1282">
        <f t="shared" si="90"/>
        <v>0</v>
      </c>
      <c r="I534" s="1338"/>
      <c r="J534" s="1282">
        <f t="shared" si="91"/>
        <v>0</v>
      </c>
      <c r="K534" s="1338"/>
      <c r="L534" s="1282">
        <f t="shared" si="92"/>
        <v>0</v>
      </c>
      <c r="M534" s="1338"/>
      <c r="N534" s="1282">
        <f t="shared" si="93"/>
        <v>0</v>
      </c>
      <c r="O534" s="1338"/>
      <c r="P534" s="1282">
        <f t="shared" si="94"/>
        <v>0</v>
      </c>
      <c r="Q534" s="1338"/>
      <c r="R534" s="1282">
        <f t="shared" si="95"/>
        <v>0</v>
      </c>
      <c r="S534" s="1338"/>
      <c r="T534" s="1283">
        <f t="shared" si="96"/>
        <v>0</v>
      </c>
      <c r="U534" s="1284">
        <f t="shared" si="88"/>
        <v>0</v>
      </c>
      <c r="V534" s="1285">
        <f t="shared" si="89"/>
        <v>0</v>
      </c>
    </row>
    <row r="535" spans="2:22" ht="24" outlineLevel="1">
      <c r="B535" s="1278" t="s">
        <v>1930</v>
      </c>
      <c r="C535" s="1278" t="s">
        <v>1194</v>
      </c>
      <c r="D535" s="1291" t="s">
        <v>1275</v>
      </c>
      <c r="E535" s="1291" t="s">
        <v>1276</v>
      </c>
      <c r="F535" s="1281">
        <v>1236</v>
      </c>
      <c r="G535" s="1338"/>
      <c r="H535" s="1282">
        <f t="shared" si="90"/>
        <v>0</v>
      </c>
      <c r="I535" s="1338"/>
      <c r="J535" s="1282">
        <f t="shared" si="91"/>
        <v>0</v>
      </c>
      <c r="K535" s="1338"/>
      <c r="L535" s="1282">
        <f t="shared" si="92"/>
        <v>0</v>
      </c>
      <c r="M535" s="1338"/>
      <c r="N535" s="1282">
        <f t="shared" si="93"/>
        <v>0</v>
      </c>
      <c r="O535" s="1338"/>
      <c r="P535" s="1282">
        <f t="shared" si="94"/>
        <v>0</v>
      </c>
      <c r="Q535" s="1338"/>
      <c r="R535" s="1282">
        <f t="shared" si="95"/>
        <v>0</v>
      </c>
      <c r="S535" s="1338"/>
      <c r="T535" s="1283">
        <f t="shared" si="96"/>
        <v>0</v>
      </c>
      <c r="U535" s="1284">
        <f t="shared" si="88"/>
        <v>0</v>
      </c>
      <c r="V535" s="1285">
        <f t="shared" si="89"/>
        <v>0</v>
      </c>
    </row>
    <row r="536" spans="2:22" ht="24" outlineLevel="1">
      <c r="B536" s="1278" t="s">
        <v>1931</v>
      </c>
      <c r="C536" s="1278" t="s">
        <v>1194</v>
      </c>
      <c r="D536" s="1291" t="s">
        <v>1277</v>
      </c>
      <c r="E536" s="1291" t="s">
        <v>1278</v>
      </c>
      <c r="F536" s="1281">
        <v>1236</v>
      </c>
      <c r="G536" s="1338"/>
      <c r="H536" s="1282">
        <f t="shared" si="90"/>
        <v>0</v>
      </c>
      <c r="I536" s="1338"/>
      <c r="J536" s="1282">
        <f t="shared" si="91"/>
        <v>0</v>
      </c>
      <c r="K536" s="1338"/>
      <c r="L536" s="1282">
        <f t="shared" si="92"/>
        <v>0</v>
      </c>
      <c r="M536" s="1338"/>
      <c r="N536" s="1282">
        <f t="shared" si="93"/>
        <v>0</v>
      </c>
      <c r="O536" s="1338"/>
      <c r="P536" s="1282">
        <f t="shared" si="94"/>
        <v>0</v>
      </c>
      <c r="Q536" s="1338"/>
      <c r="R536" s="1282">
        <f t="shared" si="95"/>
        <v>0</v>
      </c>
      <c r="S536" s="1338"/>
      <c r="T536" s="1283">
        <f t="shared" si="96"/>
        <v>0</v>
      </c>
      <c r="U536" s="1284">
        <f t="shared" si="88"/>
        <v>0</v>
      </c>
      <c r="V536" s="1285">
        <f t="shared" si="89"/>
        <v>0</v>
      </c>
    </row>
    <row r="537" spans="2:22" ht="36" outlineLevel="1">
      <c r="B537" s="1278" t="s">
        <v>1932</v>
      </c>
      <c r="C537" s="1318" t="s">
        <v>1194</v>
      </c>
      <c r="D537" s="1311" t="s">
        <v>1279</v>
      </c>
      <c r="E537" s="1311" t="s">
        <v>1280</v>
      </c>
      <c r="F537" s="1281">
        <v>1236</v>
      </c>
      <c r="G537" s="1338"/>
      <c r="H537" s="1282">
        <f t="shared" si="90"/>
        <v>0</v>
      </c>
      <c r="I537" s="1338"/>
      <c r="J537" s="1282">
        <f t="shared" si="91"/>
        <v>0</v>
      </c>
      <c r="K537" s="1338"/>
      <c r="L537" s="1282">
        <f t="shared" si="92"/>
        <v>0</v>
      </c>
      <c r="M537" s="1338"/>
      <c r="N537" s="1282">
        <f t="shared" si="93"/>
        <v>0</v>
      </c>
      <c r="O537" s="1338"/>
      <c r="P537" s="1282">
        <f t="shared" si="94"/>
        <v>0</v>
      </c>
      <c r="Q537" s="1338"/>
      <c r="R537" s="1282">
        <f t="shared" si="95"/>
        <v>0</v>
      </c>
      <c r="S537" s="1338"/>
      <c r="T537" s="1283">
        <f t="shared" si="96"/>
        <v>0</v>
      </c>
      <c r="U537" s="1284">
        <f t="shared" si="88"/>
        <v>0</v>
      </c>
      <c r="V537" s="1285">
        <f t="shared" si="89"/>
        <v>0</v>
      </c>
    </row>
    <row r="538" spans="2:22">
      <c r="B538" s="1254" t="s">
        <v>1933</v>
      </c>
      <c r="C538" s="1254" t="s">
        <v>1281</v>
      </c>
      <c r="D538" s="1255"/>
      <c r="E538" s="1255"/>
      <c r="F538" s="1302"/>
      <c r="G538" s="1339"/>
      <c r="H538" s="1296"/>
      <c r="I538" s="1339"/>
      <c r="J538" s="1296"/>
      <c r="K538" s="1339"/>
      <c r="L538" s="1296"/>
      <c r="M538" s="1339"/>
      <c r="N538" s="1296"/>
      <c r="O538" s="1339"/>
      <c r="P538" s="1296"/>
      <c r="Q538" s="1339"/>
      <c r="R538" s="1296"/>
      <c r="S538" s="1339"/>
      <c r="T538" s="1296"/>
      <c r="U538" s="1297"/>
      <c r="V538" s="1298"/>
    </row>
    <row r="539" spans="2:22" outlineLevel="1">
      <c r="B539" s="1278" t="s">
        <v>1934</v>
      </c>
      <c r="C539" s="1278" t="s">
        <v>1281</v>
      </c>
      <c r="D539" s="1303" t="s">
        <v>1282</v>
      </c>
      <c r="E539" s="1303" t="s">
        <v>1283</v>
      </c>
      <c r="F539" s="1281">
        <v>462</v>
      </c>
      <c r="G539" s="1338"/>
      <c r="H539" s="1282">
        <f t="shared" si="90"/>
        <v>0</v>
      </c>
      <c r="I539" s="1338"/>
      <c r="J539" s="1282">
        <f t="shared" si="91"/>
        <v>0</v>
      </c>
      <c r="K539" s="1338"/>
      <c r="L539" s="1282">
        <f t="shared" si="92"/>
        <v>0</v>
      </c>
      <c r="M539" s="1338"/>
      <c r="N539" s="1282">
        <f t="shared" si="93"/>
        <v>0</v>
      </c>
      <c r="O539" s="1338"/>
      <c r="P539" s="1282">
        <f t="shared" si="94"/>
        <v>0</v>
      </c>
      <c r="Q539" s="1338"/>
      <c r="R539" s="1282">
        <f t="shared" si="95"/>
        <v>0</v>
      </c>
      <c r="S539" s="1338"/>
      <c r="T539" s="1283">
        <f t="shared" si="96"/>
        <v>0</v>
      </c>
      <c r="U539" s="1284">
        <f t="shared" si="88"/>
        <v>0</v>
      </c>
      <c r="V539" s="1285">
        <f t="shared" si="89"/>
        <v>0</v>
      </c>
    </row>
    <row r="540" spans="2:22" outlineLevel="1">
      <c r="B540" s="1278" t="s">
        <v>1935</v>
      </c>
      <c r="C540" s="1278" t="s">
        <v>1281</v>
      </c>
      <c r="D540" s="1287" t="s">
        <v>1284</v>
      </c>
      <c r="E540" s="1287" t="s">
        <v>1285</v>
      </c>
      <c r="F540" s="1281">
        <v>924</v>
      </c>
      <c r="G540" s="1338"/>
      <c r="H540" s="1282">
        <f t="shared" si="90"/>
        <v>0</v>
      </c>
      <c r="I540" s="1338"/>
      <c r="J540" s="1282">
        <f t="shared" si="91"/>
        <v>0</v>
      </c>
      <c r="K540" s="1338"/>
      <c r="L540" s="1282">
        <f t="shared" si="92"/>
        <v>0</v>
      </c>
      <c r="M540" s="1338"/>
      <c r="N540" s="1282">
        <f t="shared" si="93"/>
        <v>0</v>
      </c>
      <c r="O540" s="1338"/>
      <c r="P540" s="1282">
        <f t="shared" si="94"/>
        <v>0</v>
      </c>
      <c r="Q540" s="1338"/>
      <c r="R540" s="1282">
        <f t="shared" si="95"/>
        <v>0</v>
      </c>
      <c r="S540" s="1338"/>
      <c r="T540" s="1283">
        <f t="shared" si="96"/>
        <v>0</v>
      </c>
      <c r="U540" s="1284">
        <f t="shared" si="88"/>
        <v>0</v>
      </c>
      <c r="V540" s="1285">
        <f t="shared" si="89"/>
        <v>0</v>
      </c>
    </row>
    <row r="541" spans="2:22" outlineLevel="1">
      <c r="B541" s="1278" t="s">
        <v>1936</v>
      </c>
      <c r="C541" s="1278" t="s">
        <v>1281</v>
      </c>
      <c r="D541" s="1287" t="s">
        <v>1286</v>
      </c>
      <c r="E541" s="1287" t="s">
        <v>1287</v>
      </c>
      <c r="F541" s="1281">
        <v>1386</v>
      </c>
      <c r="G541" s="1338"/>
      <c r="H541" s="1282">
        <f t="shared" si="90"/>
        <v>0</v>
      </c>
      <c r="I541" s="1338"/>
      <c r="J541" s="1282">
        <f t="shared" si="91"/>
        <v>0</v>
      </c>
      <c r="K541" s="1338"/>
      <c r="L541" s="1282">
        <f t="shared" si="92"/>
        <v>0</v>
      </c>
      <c r="M541" s="1338"/>
      <c r="N541" s="1282">
        <f t="shared" si="93"/>
        <v>0</v>
      </c>
      <c r="O541" s="1338"/>
      <c r="P541" s="1282">
        <f t="shared" si="94"/>
        <v>0</v>
      </c>
      <c r="Q541" s="1338"/>
      <c r="R541" s="1282">
        <f t="shared" si="95"/>
        <v>0</v>
      </c>
      <c r="S541" s="1338"/>
      <c r="T541" s="1283">
        <f t="shared" si="96"/>
        <v>0</v>
      </c>
      <c r="U541" s="1284">
        <f t="shared" si="88"/>
        <v>0</v>
      </c>
      <c r="V541" s="1285">
        <f t="shared" si="89"/>
        <v>0</v>
      </c>
    </row>
    <row r="542" spans="2:22" outlineLevel="1">
      <c r="B542" s="1278" t="s">
        <v>1937</v>
      </c>
      <c r="C542" s="1278" t="s">
        <v>1281</v>
      </c>
      <c r="D542" s="1287" t="s">
        <v>1288</v>
      </c>
      <c r="E542" s="1287" t="s">
        <v>1289</v>
      </c>
      <c r="F542" s="1281">
        <v>1848</v>
      </c>
      <c r="G542" s="1338"/>
      <c r="H542" s="1282">
        <f t="shared" si="90"/>
        <v>0</v>
      </c>
      <c r="I542" s="1338"/>
      <c r="J542" s="1282">
        <f t="shared" si="91"/>
        <v>0</v>
      </c>
      <c r="K542" s="1338"/>
      <c r="L542" s="1282">
        <f t="shared" si="92"/>
        <v>0</v>
      </c>
      <c r="M542" s="1338"/>
      <c r="N542" s="1282">
        <f t="shared" si="93"/>
        <v>0</v>
      </c>
      <c r="O542" s="1338"/>
      <c r="P542" s="1282">
        <f t="shared" si="94"/>
        <v>0</v>
      </c>
      <c r="Q542" s="1338"/>
      <c r="R542" s="1282">
        <f t="shared" si="95"/>
        <v>0</v>
      </c>
      <c r="S542" s="1338"/>
      <c r="T542" s="1283">
        <f t="shared" si="96"/>
        <v>0</v>
      </c>
      <c r="U542" s="1284">
        <f t="shared" si="88"/>
        <v>0</v>
      </c>
      <c r="V542" s="1285">
        <f t="shared" si="89"/>
        <v>0</v>
      </c>
    </row>
    <row r="543" spans="2:22" outlineLevel="1">
      <c r="B543" s="1278" t="s">
        <v>1938</v>
      </c>
      <c r="C543" s="1278" t="s">
        <v>1281</v>
      </c>
      <c r="D543" s="1287" t="s">
        <v>1290</v>
      </c>
      <c r="E543" s="1287" t="s">
        <v>1291</v>
      </c>
      <c r="F543" s="1281">
        <v>2310</v>
      </c>
      <c r="G543" s="1338"/>
      <c r="H543" s="1282">
        <f t="shared" si="90"/>
        <v>0</v>
      </c>
      <c r="I543" s="1338"/>
      <c r="J543" s="1282">
        <f t="shared" si="91"/>
        <v>0</v>
      </c>
      <c r="K543" s="1338"/>
      <c r="L543" s="1282">
        <f t="shared" si="92"/>
        <v>0</v>
      </c>
      <c r="M543" s="1338"/>
      <c r="N543" s="1282">
        <f t="shared" si="93"/>
        <v>0</v>
      </c>
      <c r="O543" s="1338"/>
      <c r="P543" s="1282">
        <f t="shared" si="94"/>
        <v>0</v>
      </c>
      <c r="Q543" s="1338"/>
      <c r="R543" s="1282">
        <f t="shared" si="95"/>
        <v>0</v>
      </c>
      <c r="S543" s="1338"/>
      <c r="T543" s="1283">
        <f t="shared" si="96"/>
        <v>0</v>
      </c>
      <c r="U543" s="1284">
        <f t="shared" si="88"/>
        <v>0</v>
      </c>
      <c r="V543" s="1285">
        <f t="shared" si="89"/>
        <v>0</v>
      </c>
    </row>
    <row r="544" spans="2:22" outlineLevel="1">
      <c r="B544" s="1278" t="s">
        <v>1939</v>
      </c>
      <c r="C544" s="1278" t="s">
        <v>1281</v>
      </c>
      <c r="D544" s="1287" t="s">
        <v>1292</v>
      </c>
      <c r="E544" s="1287" t="s">
        <v>1293</v>
      </c>
      <c r="F544" s="1281">
        <v>2772</v>
      </c>
      <c r="G544" s="1338"/>
      <c r="H544" s="1282">
        <f t="shared" si="90"/>
        <v>0</v>
      </c>
      <c r="I544" s="1338"/>
      <c r="J544" s="1282">
        <f t="shared" si="91"/>
        <v>0</v>
      </c>
      <c r="K544" s="1338"/>
      <c r="L544" s="1282">
        <f t="shared" si="92"/>
        <v>0</v>
      </c>
      <c r="M544" s="1338"/>
      <c r="N544" s="1282">
        <f t="shared" si="93"/>
        <v>0</v>
      </c>
      <c r="O544" s="1338"/>
      <c r="P544" s="1282">
        <f t="shared" si="94"/>
        <v>0</v>
      </c>
      <c r="Q544" s="1338"/>
      <c r="R544" s="1282">
        <f t="shared" si="95"/>
        <v>0</v>
      </c>
      <c r="S544" s="1338"/>
      <c r="T544" s="1283">
        <f t="shared" si="96"/>
        <v>0</v>
      </c>
      <c r="U544" s="1284">
        <f t="shared" si="88"/>
        <v>0</v>
      </c>
      <c r="V544" s="1285">
        <f t="shared" si="89"/>
        <v>0</v>
      </c>
    </row>
    <row r="545" spans="2:22" outlineLevel="1">
      <c r="B545" s="1278" t="s">
        <v>1940</v>
      </c>
      <c r="C545" s="1278" t="s">
        <v>1281</v>
      </c>
      <c r="D545" s="1287" t="s">
        <v>1294</v>
      </c>
      <c r="E545" s="1287" t="s">
        <v>1295</v>
      </c>
      <c r="F545" s="1281">
        <v>3234</v>
      </c>
      <c r="G545" s="1338"/>
      <c r="H545" s="1282">
        <f t="shared" si="90"/>
        <v>0</v>
      </c>
      <c r="I545" s="1338"/>
      <c r="J545" s="1282">
        <f t="shared" si="91"/>
        <v>0</v>
      </c>
      <c r="K545" s="1338"/>
      <c r="L545" s="1282">
        <f t="shared" si="92"/>
        <v>0</v>
      </c>
      <c r="M545" s="1338"/>
      <c r="N545" s="1282">
        <f t="shared" si="93"/>
        <v>0</v>
      </c>
      <c r="O545" s="1338"/>
      <c r="P545" s="1282">
        <f t="shared" si="94"/>
        <v>0</v>
      </c>
      <c r="Q545" s="1338"/>
      <c r="R545" s="1282">
        <f t="shared" si="95"/>
        <v>0</v>
      </c>
      <c r="S545" s="1338"/>
      <c r="T545" s="1283">
        <f t="shared" si="96"/>
        <v>0</v>
      </c>
      <c r="U545" s="1284">
        <f t="shared" si="88"/>
        <v>0</v>
      </c>
      <c r="V545" s="1285">
        <f t="shared" si="89"/>
        <v>0</v>
      </c>
    </row>
    <row r="546" spans="2:22" outlineLevel="1">
      <c r="B546" s="1278" t="s">
        <v>1941</v>
      </c>
      <c r="C546" s="1278" t="s">
        <v>1281</v>
      </c>
      <c r="D546" s="1287" t="s">
        <v>1296</v>
      </c>
      <c r="E546" s="1287" t="s">
        <v>1297</v>
      </c>
      <c r="F546" s="1281">
        <v>3696</v>
      </c>
      <c r="G546" s="1338"/>
      <c r="H546" s="1282">
        <f t="shared" si="90"/>
        <v>0</v>
      </c>
      <c r="I546" s="1338"/>
      <c r="J546" s="1282">
        <f t="shared" si="91"/>
        <v>0</v>
      </c>
      <c r="K546" s="1338"/>
      <c r="L546" s="1282">
        <f t="shared" si="92"/>
        <v>0</v>
      </c>
      <c r="M546" s="1338"/>
      <c r="N546" s="1282">
        <f t="shared" si="93"/>
        <v>0</v>
      </c>
      <c r="O546" s="1338"/>
      <c r="P546" s="1282">
        <f t="shared" si="94"/>
        <v>0</v>
      </c>
      <c r="Q546" s="1338"/>
      <c r="R546" s="1282">
        <f t="shared" si="95"/>
        <v>0</v>
      </c>
      <c r="S546" s="1338"/>
      <c r="T546" s="1283">
        <f t="shared" si="96"/>
        <v>0</v>
      </c>
      <c r="U546" s="1284">
        <f t="shared" si="88"/>
        <v>0</v>
      </c>
      <c r="V546" s="1285">
        <f t="shared" si="89"/>
        <v>0</v>
      </c>
    </row>
    <row r="547" spans="2:22" outlineLevel="1">
      <c r="B547" s="1278" t="s">
        <v>1942</v>
      </c>
      <c r="C547" s="1278" t="s">
        <v>1281</v>
      </c>
      <c r="D547" s="1287" t="s">
        <v>1298</v>
      </c>
      <c r="E547" s="1287" t="s">
        <v>1299</v>
      </c>
      <c r="F547" s="1281">
        <v>4158</v>
      </c>
      <c r="G547" s="1338"/>
      <c r="H547" s="1282">
        <f t="shared" si="90"/>
        <v>0</v>
      </c>
      <c r="I547" s="1338"/>
      <c r="J547" s="1282">
        <f t="shared" si="91"/>
        <v>0</v>
      </c>
      <c r="K547" s="1338"/>
      <c r="L547" s="1282">
        <f t="shared" si="92"/>
        <v>0</v>
      </c>
      <c r="M547" s="1338"/>
      <c r="N547" s="1282">
        <f t="shared" si="93"/>
        <v>0</v>
      </c>
      <c r="O547" s="1338"/>
      <c r="P547" s="1282">
        <f t="shared" si="94"/>
        <v>0</v>
      </c>
      <c r="Q547" s="1338"/>
      <c r="R547" s="1282">
        <f t="shared" si="95"/>
        <v>0</v>
      </c>
      <c r="S547" s="1338"/>
      <c r="T547" s="1283">
        <f t="shared" si="96"/>
        <v>0</v>
      </c>
      <c r="U547" s="1284">
        <f t="shared" si="88"/>
        <v>0</v>
      </c>
      <c r="V547" s="1285">
        <f t="shared" si="89"/>
        <v>0</v>
      </c>
    </row>
    <row r="548" spans="2:22" outlineLevel="1">
      <c r="B548" s="1278" t="s">
        <v>1943</v>
      </c>
      <c r="C548" s="1278" t="s">
        <v>1281</v>
      </c>
      <c r="D548" s="1287" t="s">
        <v>1300</v>
      </c>
      <c r="E548" s="1287" t="s">
        <v>1301</v>
      </c>
      <c r="F548" s="1281">
        <v>4620</v>
      </c>
      <c r="G548" s="1338"/>
      <c r="H548" s="1282">
        <f t="shared" si="90"/>
        <v>0</v>
      </c>
      <c r="I548" s="1338"/>
      <c r="J548" s="1282">
        <f t="shared" si="91"/>
        <v>0</v>
      </c>
      <c r="K548" s="1338"/>
      <c r="L548" s="1282">
        <f t="shared" si="92"/>
        <v>0</v>
      </c>
      <c r="M548" s="1338"/>
      <c r="N548" s="1282">
        <f t="shared" si="93"/>
        <v>0</v>
      </c>
      <c r="O548" s="1338"/>
      <c r="P548" s="1282">
        <f t="shared" si="94"/>
        <v>0</v>
      </c>
      <c r="Q548" s="1338"/>
      <c r="R548" s="1282">
        <f t="shared" si="95"/>
        <v>0</v>
      </c>
      <c r="S548" s="1338"/>
      <c r="T548" s="1283">
        <f t="shared" si="96"/>
        <v>0</v>
      </c>
      <c r="U548" s="1284">
        <f t="shared" si="88"/>
        <v>0</v>
      </c>
      <c r="V548" s="1285">
        <f t="shared" si="89"/>
        <v>0</v>
      </c>
    </row>
    <row r="549" spans="2:22" outlineLevel="1">
      <c r="B549" s="1278" t="s">
        <v>1944</v>
      </c>
      <c r="C549" s="1278" t="s">
        <v>1281</v>
      </c>
      <c r="D549" s="1287" t="s">
        <v>1302</v>
      </c>
      <c r="E549" s="1287" t="s">
        <v>1303</v>
      </c>
      <c r="F549" s="1281">
        <v>5082</v>
      </c>
      <c r="G549" s="1338"/>
      <c r="H549" s="1282">
        <f t="shared" si="90"/>
        <v>0</v>
      </c>
      <c r="I549" s="1338"/>
      <c r="J549" s="1282">
        <f t="shared" si="91"/>
        <v>0</v>
      </c>
      <c r="K549" s="1338"/>
      <c r="L549" s="1282">
        <f t="shared" si="92"/>
        <v>0</v>
      </c>
      <c r="M549" s="1338"/>
      <c r="N549" s="1282">
        <f t="shared" si="93"/>
        <v>0</v>
      </c>
      <c r="O549" s="1338"/>
      <c r="P549" s="1282">
        <f t="shared" si="94"/>
        <v>0</v>
      </c>
      <c r="Q549" s="1338"/>
      <c r="R549" s="1282">
        <f t="shared" si="95"/>
        <v>0</v>
      </c>
      <c r="S549" s="1338"/>
      <c r="T549" s="1283">
        <f t="shared" si="96"/>
        <v>0</v>
      </c>
      <c r="U549" s="1284">
        <f t="shared" ref="U549:U558" si="97">G549+I549+K549+M549+O549+Q549+S549</f>
        <v>0</v>
      </c>
      <c r="V549" s="1285">
        <f t="shared" ref="V549:V558" si="98">U549*F549</f>
        <v>0</v>
      </c>
    </row>
    <row r="550" spans="2:22" outlineLevel="1">
      <c r="B550" s="1278" t="s">
        <v>1945</v>
      </c>
      <c r="C550" s="1278" t="s">
        <v>1281</v>
      </c>
      <c r="D550" s="1287" t="s">
        <v>1304</v>
      </c>
      <c r="E550" s="1287" t="s">
        <v>1305</v>
      </c>
      <c r="F550" s="1281">
        <v>5544</v>
      </c>
      <c r="G550" s="1338"/>
      <c r="H550" s="1282">
        <f t="shared" si="90"/>
        <v>0</v>
      </c>
      <c r="I550" s="1338"/>
      <c r="J550" s="1282">
        <f t="shared" si="91"/>
        <v>0</v>
      </c>
      <c r="K550" s="1338"/>
      <c r="L550" s="1282">
        <f t="shared" si="92"/>
        <v>0</v>
      </c>
      <c r="M550" s="1338"/>
      <c r="N550" s="1282">
        <f t="shared" si="93"/>
        <v>0</v>
      </c>
      <c r="O550" s="1338"/>
      <c r="P550" s="1282">
        <f t="shared" si="94"/>
        <v>0</v>
      </c>
      <c r="Q550" s="1338"/>
      <c r="R550" s="1282">
        <f t="shared" si="95"/>
        <v>0</v>
      </c>
      <c r="S550" s="1338"/>
      <c r="T550" s="1283">
        <f t="shared" si="96"/>
        <v>0</v>
      </c>
      <c r="U550" s="1284">
        <f t="shared" si="97"/>
        <v>0</v>
      </c>
      <c r="V550" s="1285">
        <f t="shared" si="98"/>
        <v>0</v>
      </c>
    </row>
    <row r="551" spans="2:22" outlineLevel="1">
      <c r="B551" s="1278" t="s">
        <v>1946</v>
      </c>
      <c r="C551" s="1278" t="s">
        <v>1281</v>
      </c>
      <c r="D551" s="1287" t="s">
        <v>1306</v>
      </c>
      <c r="E551" s="1287" t="s">
        <v>1307</v>
      </c>
      <c r="F551" s="1281">
        <v>6006</v>
      </c>
      <c r="G551" s="1338"/>
      <c r="H551" s="1282">
        <f t="shared" si="90"/>
        <v>0</v>
      </c>
      <c r="I551" s="1338"/>
      <c r="J551" s="1282">
        <f t="shared" si="91"/>
        <v>0</v>
      </c>
      <c r="K551" s="1338"/>
      <c r="L551" s="1282">
        <f t="shared" si="92"/>
        <v>0</v>
      </c>
      <c r="M551" s="1338"/>
      <c r="N551" s="1282">
        <f t="shared" si="93"/>
        <v>0</v>
      </c>
      <c r="O551" s="1338"/>
      <c r="P551" s="1282">
        <f t="shared" si="94"/>
        <v>0</v>
      </c>
      <c r="Q551" s="1338"/>
      <c r="R551" s="1282">
        <f t="shared" si="95"/>
        <v>0</v>
      </c>
      <c r="S551" s="1338"/>
      <c r="T551" s="1283">
        <f t="shared" si="96"/>
        <v>0</v>
      </c>
      <c r="U551" s="1284">
        <f t="shared" si="97"/>
        <v>0</v>
      </c>
      <c r="V551" s="1285">
        <f t="shared" si="98"/>
        <v>0</v>
      </c>
    </row>
    <row r="552" spans="2:22" outlineLevel="1">
      <c r="B552" s="1278" t="s">
        <v>1947</v>
      </c>
      <c r="C552" s="1278" t="s">
        <v>1281</v>
      </c>
      <c r="D552" s="1287" t="s">
        <v>1308</v>
      </c>
      <c r="E552" s="1287" t="s">
        <v>1309</v>
      </c>
      <c r="F552" s="1281">
        <v>6468</v>
      </c>
      <c r="G552" s="1338"/>
      <c r="H552" s="1282">
        <f t="shared" si="90"/>
        <v>0</v>
      </c>
      <c r="I552" s="1338"/>
      <c r="J552" s="1282">
        <f t="shared" si="91"/>
        <v>0</v>
      </c>
      <c r="K552" s="1338"/>
      <c r="L552" s="1282">
        <f t="shared" si="92"/>
        <v>0</v>
      </c>
      <c r="M552" s="1338"/>
      <c r="N552" s="1282">
        <f t="shared" si="93"/>
        <v>0</v>
      </c>
      <c r="O552" s="1338"/>
      <c r="P552" s="1282">
        <f t="shared" si="94"/>
        <v>0</v>
      </c>
      <c r="Q552" s="1338"/>
      <c r="R552" s="1282">
        <f t="shared" si="95"/>
        <v>0</v>
      </c>
      <c r="S552" s="1338"/>
      <c r="T552" s="1283">
        <f t="shared" si="96"/>
        <v>0</v>
      </c>
      <c r="U552" s="1284">
        <f t="shared" si="97"/>
        <v>0</v>
      </c>
      <c r="V552" s="1285">
        <f t="shared" si="98"/>
        <v>0</v>
      </c>
    </row>
    <row r="553" spans="2:22" outlineLevel="1">
      <c r="B553" s="1278" t="s">
        <v>1948</v>
      </c>
      <c r="C553" s="1278" t="s">
        <v>1281</v>
      </c>
      <c r="D553" s="1287" t="s">
        <v>1310</v>
      </c>
      <c r="E553" s="1287" t="s">
        <v>1311</v>
      </c>
      <c r="F553" s="1281">
        <v>6930</v>
      </c>
      <c r="G553" s="1338"/>
      <c r="H553" s="1282">
        <f t="shared" si="90"/>
        <v>0</v>
      </c>
      <c r="I553" s="1338"/>
      <c r="J553" s="1282">
        <f t="shared" si="91"/>
        <v>0</v>
      </c>
      <c r="K553" s="1338"/>
      <c r="L553" s="1282">
        <f t="shared" si="92"/>
        <v>0</v>
      </c>
      <c r="M553" s="1338"/>
      <c r="N553" s="1282">
        <f t="shared" si="93"/>
        <v>0</v>
      </c>
      <c r="O553" s="1338"/>
      <c r="P553" s="1282">
        <f t="shared" si="94"/>
        <v>0</v>
      </c>
      <c r="Q553" s="1338"/>
      <c r="R553" s="1282">
        <f t="shared" si="95"/>
        <v>0</v>
      </c>
      <c r="S553" s="1338"/>
      <c r="T553" s="1283">
        <f t="shared" si="96"/>
        <v>0</v>
      </c>
      <c r="U553" s="1284">
        <f t="shared" si="97"/>
        <v>0</v>
      </c>
      <c r="V553" s="1285">
        <f t="shared" si="98"/>
        <v>0</v>
      </c>
    </row>
    <row r="554" spans="2:22" outlineLevel="1">
      <c r="B554" s="1278" t="s">
        <v>1949</v>
      </c>
      <c r="C554" s="1278" t="s">
        <v>1281</v>
      </c>
      <c r="D554" s="1287" t="s">
        <v>1312</v>
      </c>
      <c r="E554" s="1287" t="s">
        <v>1313</v>
      </c>
      <c r="F554" s="1281">
        <v>7392</v>
      </c>
      <c r="G554" s="1338"/>
      <c r="H554" s="1282">
        <f t="shared" si="90"/>
        <v>0</v>
      </c>
      <c r="I554" s="1338"/>
      <c r="J554" s="1282">
        <f t="shared" si="91"/>
        <v>0</v>
      </c>
      <c r="K554" s="1338"/>
      <c r="L554" s="1282">
        <f t="shared" si="92"/>
        <v>0</v>
      </c>
      <c r="M554" s="1338"/>
      <c r="N554" s="1282">
        <f t="shared" si="93"/>
        <v>0</v>
      </c>
      <c r="O554" s="1338"/>
      <c r="P554" s="1282">
        <f t="shared" si="94"/>
        <v>0</v>
      </c>
      <c r="Q554" s="1338"/>
      <c r="R554" s="1282">
        <f t="shared" si="95"/>
        <v>0</v>
      </c>
      <c r="S554" s="1338"/>
      <c r="T554" s="1283">
        <f t="shared" si="96"/>
        <v>0</v>
      </c>
      <c r="U554" s="1284">
        <f t="shared" si="97"/>
        <v>0</v>
      </c>
      <c r="V554" s="1285">
        <f t="shared" si="98"/>
        <v>0</v>
      </c>
    </row>
    <row r="555" spans="2:22" outlineLevel="1">
      <c r="B555" s="1278" t="s">
        <v>1950</v>
      </c>
      <c r="C555" s="1278" t="s">
        <v>1281</v>
      </c>
      <c r="D555" s="1287" t="s">
        <v>1314</v>
      </c>
      <c r="E555" s="1287" t="s">
        <v>1315</v>
      </c>
      <c r="F555" s="1281">
        <v>7854</v>
      </c>
      <c r="G555" s="1338"/>
      <c r="H555" s="1282">
        <f t="shared" si="90"/>
        <v>0</v>
      </c>
      <c r="I555" s="1338"/>
      <c r="J555" s="1282">
        <f t="shared" si="91"/>
        <v>0</v>
      </c>
      <c r="K555" s="1338"/>
      <c r="L555" s="1282">
        <f t="shared" si="92"/>
        <v>0</v>
      </c>
      <c r="M555" s="1338"/>
      <c r="N555" s="1282">
        <f t="shared" si="93"/>
        <v>0</v>
      </c>
      <c r="O555" s="1338"/>
      <c r="P555" s="1282">
        <f t="shared" si="94"/>
        <v>0</v>
      </c>
      <c r="Q555" s="1338"/>
      <c r="R555" s="1282">
        <f t="shared" si="95"/>
        <v>0</v>
      </c>
      <c r="S555" s="1338"/>
      <c r="T555" s="1283">
        <f t="shared" si="96"/>
        <v>0</v>
      </c>
      <c r="U555" s="1284">
        <f t="shared" si="97"/>
        <v>0</v>
      </c>
      <c r="V555" s="1285">
        <f t="shared" si="98"/>
        <v>0</v>
      </c>
    </row>
    <row r="556" spans="2:22" outlineLevel="1">
      <c r="B556" s="1278" t="s">
        <v>1951</v>
      </c>
      <c r="C556" s="1278" t="s">
        <v>1281</v>
      </c>
      <c r="D556" s="1287" t="s">
        <v>1316</v>
      </c>
      <c r="E556" s="1287" t="s">
        <v>1317</v>
      </c>
      <c r="F556" s="1281">
        <v>8316</v>
      </c>
      <c r="G556" s="1338"/>
      <c r="H556" s="1282">
        <f t="shared" si="90"/>
        <v>0</v>
      </c>
      <c r="I556" s="1338"/>
      <c r="J556" s="1282">
        <f t="shared" si="91"/>
        <v>0</v>
      </c>
      <c r="K556" s="1338"/>
      <c r="L556" s="1282">
        <f t="shared" si="92"/>
        <v>0</v>
      </c>
      <c r="M556" s="1338"/>
      <c r="N556" s="1282">
        <f t="shared" si="93"/>
        <v>0</v>
      </c>
      <c r="O556" s="1338"/>
      <c r="P556" s="1282">
        <f t="shared" si="94"/>
        <v>0</v>
      </c>
      <c r="Q556" s="1338"/>
      <c r="R556" s="1282">
        <f t="shared" si="95"/>
        <v>0</v>
      </c>
      <c r="S556" s="1338"/>
      <c r="T556" s="1283">
        <f t="shared" si="96"/>
        <v>0</v>
      </c>
      <c r="U556" s="1284">
        <f t="shared" si="97"/>
        <v>0</v>
      </c>
      <c r="V556" s="1285">
        <f t="shared" si="98"/>
        <v>0</v>
      </c>
    </row>
    <row r="557" spans="2:22" outlineLevel="1">
      <c r="B557" s="1278" t="s">
        <v>1952</v>
      </c>
      <c r="C557" s="1278" t="s">
        <v>1281</v>
      </c>
      <c r="D557" s="1287" t="s">
        <v>1318</v>
      </c>
      <c r="E557" s="1287" t="s">
        <v>1319</v>
      </c>
      <c r="F557" s="1281">
        <v>8778</v>
      </c>
      <c r="G557" s="1338"/>
      <c r="H557" s="1282">
        <f t="shared" si="90"/>
        <v>0</v>
      </c>
      <c r="I557" s="1338"/>
      <c r="J557" s="1282">
        <f t="shared" si="91"/>
        <v>0</v>
      </c>
      <c r="K557" s="1338"/>
      <c r="L557" s="1282">
        <f t="shared" si="92"/>
        <v>0</v>
      </c>
      <c r="M557" s="1338"/>
      <c r="N557" s="1282">
        <f t="shared" si="93"/>
        <v>0</v>
      </c>
      <c r="O557" s="1338"/>
      <c r="P557" s="1282">
        <f t="shared" si="94"/>
        <v>0</v>
      </c>
      <c r="Q557" s="1338"/>
      <c r="R557" s="1282">
        <f t="shared" si="95"/>
        <v>0</v>
      </c>
      <c r="S557" s="1338"/>
      <c r="T557" s="1283">
        <f t="shared" si="96"/>
        <v>0</v>
      </c>
      <c r="U557" s="1284">
        <f t="shared" si="97"/>
        <v>0</v>
      </c>
      <c r="V557" s="1285">
        <f t="shared" si="98"/>
        <v>0</v>
      </c>
    </row>
    <row r="558" spans="2:22" outlineLevel="1">
      <c r="B558" s="1278" t="s">
        <v>1953</v>
      </c>
      <c r="C558" s="1278" t="s">
        <v>1281</v>
      </c>
      <c r="D558" s="1287" t="s">
        <v>1320</v>
      </c>
      <c r="E558" s="1287" t="s">
        <v>1321</v>
      </c>
      <c r="F558" s="1281">
        <v>9240</v>
      </c>
      <c r="G558" s="1338"/>
      <c r="H558" s="1282">
        <f t="shared" si="90"/>
        <v>0</v>
      </c>
      <c r="I558" s="1338"/>
      <c r="J558" s="1282">
        <f t="shared" si="91"/>
        <v>0</v>
      </c>
      <c r="K558" s="1338"/>
      <c r="L558" s="1282">
        <f t="shared" si="92"/>
        <v>0</v>
      </c>
      <c r="M558" s="1338"/>
      <c r="N558" s="1282">
        <f t="shared" si="93"/>
        <v>0</v>
      </c>
      <c r="O558" s="1338"/>
      <c r="P558" s="1282">
        <f t="shared" si="94"/>
        <v>0</v>
      </c>
      <c r="Q558" s="1338"/>
      <c r="R558" s="1282">
        <f t="shared" si="95"/>
        <v>0</v>
      </c>
      <c r="S558" s="1338"/>
      <c r="T558" s="1283">
        <f t="shared" si="96"/>
        <v>0</v>
      </c>
      <c r="U558" s="1284">
        <f t="shared" si="97"/>
        <v>0</v>
      </c>
      <c r="V558" s="1285">
        <f t="shared" si="98"/>
        <v>0</v>
      </c>
    </row>
    <row r="559" spans="2:22" ht="13.5" customHeight="1">
      <c r="B559" s="1254" t="s">
        <v>2017</v>
      </c>
      <c r="C559" s="1254" t="s">
        <v>1322</v>
      </c>
      <c r="D559" s="1270"/>
      <c r="E559" s="1304"/>
      <c r="F559" s="1305"/>
      <c r="G559" s="1339"/>
      <c r="H559" s="1296"/>
      <c r="I559" s="1339"/>
      <c r="J559" s="1296"/>
      <c r="K559" s="1339"/>
      <c r="L559" s="1296"/>
      <c r="M559" s="1339"/>
      <c r="N559" s="1296"/>
      <c r="O559" s="1339"/>
      <c r="P559" s="1296"/>
      <c r="Q559" s="1339"/>
      <c r="R559" s="1296"/>
      <c r="S559" s="1339"/>
      <c r="T559" s="1296"/>
      <c r="U559" s="1297"/>
      <c r="V559" s="1298"/>
    </row>
    <row r="560" spans="2:22" outlineLevel="1">
      <c r="B560" s="1403" t="s">
        <v>1954</v>
      </c>
      <c r="C560" s="1406" t="s">
        <v>1322</v>
      </c>
      <c r="D560" s="1287" t="s">
        <v>1323</v>
      </c>
      <c r="E560" s="1287" t="s">
        <v>1324</v>
      </c>
      <c r="F560" s="1413">
        <v>1023.7</v>
      </c>
      <c r="G560" s="1397"/>
      <c r="H560" s="1394">
        <f t="shared" ref="H560:H580" si="99">F560*G560</f>
        <v>0</v>
      </c>
      <c r="I560" s="1397"/>
      <c r="J560" s="1394">
        <f>F560*I560</f>
        <v>0</v>
      </c>
      <c r="K560" s="1397"/>
      <c r="L560" s="1394">
        <f>F560*K560</f>
        <v>0</v>
      </c>
      <c r="M560" s="1397"/>
      <c r="N560" s="1394">
        <f>F560*M560</f>
        <v>0</v>
      </c>
      <c r="O560" s="1397"/>
      <c r="P560" s="1394">
        <f>F560*O560</f>
        <v>0</v>
      </c>
      <c r="Q560" s="1397"/>
      <c r="R560" s="1394">
        <f>F560*Q560</f>
        <v>0</v>
      </c>
      <c r="S560" s="1397"/>
      <c r="T560" s="1394">
        <f>F560*S560</f>
        <v>0</v>
      </c>
      <c r="U560" s="1407">
        <f>G560+I560+K560+M560+O560+Q560+S560</f>
        <v>0</v>
      </c>
      <c r="V560" s="1410">
        <f>U560*F560</f>
        <v>0</v>
      </c>
    </row>
    <row r="561" spans="1:22" ht="14.25" outlineLevel="1">
      <c r="A561" s="1233"/>
      <c r="B561" s="1404"/>
      <c r="C561" s="1406"/>
      <c r="D561" s="1287" t="s">
        <v>1325</v>
      </c>
      <c r="E561" s="1287" t="s">
        <v>1326</v>
      </c>
      <c r="F561" s="1414"/>
      <c r="G561" s="1398"/>
      <c r="H561" s="1395"/>
      <c r="I561" s="1398"/>
      <c r="J561" s="1395"/>
      <c r="K561" s="1398"/>
      <c r="L561" s="1395"/>
      <c r="M561" s="1398"/>
      <c r="N561" s="1395"/>
      <c r="O561" s="1398"/>
      <c r="P561" s="1395"/>
      <c r="Q561" s="1398"/>
      <c r="R561" s="1395"/>
      <c r="S561" s="1398"/>
      <c r="T561" s="1395"/>
      <c r="U561" s="1408"/>
      <c r="V561" s="1411"/>
    </row>
    <row r="562" spans="1:22" ht="14.25" outlineLevel="1">
      <c r="A562" s="1233"/>
      <c r="B562" s="1404"/>
      <c r="C562" s="1406"/>
      <c r="D562" s="1287" t="s">
        <v>1327</v>
      </c>
      <c r="E562" s="1287" t="s">
        <v>1328</v>
      </c>
      <c r="F562" s="1414"/>
      <c r="G562" s="1398"/>
      <c r="H562" s="1395"/>
      <c r="I562" s="1398"/>
      <c r="J562" s="1395"/>
      <c r="K562" s="1398"/>
      <c r="L562" s="1395"/>
      <c r="M562" s="1398"/>
      <c r="N562" s="1395"/>
      <c r="O562" s="1398"/>
      <c r="P562" s="1395"/>
      <c r="Q562" s="1398"/>
      <c r="R562" s="1395"/>
      <c r="S562" s="1398"/>
      <c r="T562" s="1395"/>
      <c r="U562" s="1408"/>
      <c r="V562" s="1411"/>
    </row>
    <row r="563" spans="1:22" ht="14.25" outlineLevel="1">
      <c r="A563" s="1233"/>
      <c r="B563" s="1404"/>
      <c r="C563" s="1406"/>
      <c r="D563" s="1287" t="s">
        <v>1329</v>
      </c>
      <c r="E563" s="1287" t="s">
        <v>1330</v>
      </c>
      <c r="F563" s="1414"/>
      <c r="G563" s="1398"/>
      <c r="H563" s="1395"/>
      <c r="I563" s="1398"/>
      <c r="J563" s="1395"/>
      <c r="K563" s="1398"/>
      <c r="L563" s="1395"/>
      <c r="M563" s="1398"/>
      <c r="N563" s="1395"/>
      <c r="O563" s="1398"/>
      <c r="P563" s="1395"/>
      <c r="Q563" s="1398"/>
      <c r="R563" s="1395"/>
      <c r="S563" s="1398"/>
      <c r="T563" s="1395"/>
      <c r="U563" s="1408"/>
      <c r="V563" s="1411"/>
    </row>
    <row r="564" spans="1:22" ht="14.25" outlineLevel="1">
      <c r="A564" s="1233"/>
      <c r="B564" s="1405"/>
      <c r="C564" s="1406"/>
      <c r="D564" s="1287" t="s">
        <v>1331</v>
      </c>
      <c r="E564" s="1287" t="s">
        <v>1332</v>
      </c>
      <c r="F564" s="1415"/>
      <c r="G564" s="1399"/>
      <c r="H564" s="1396"/>
      <c r="I564" s="1399"/>
      <c r="J564" s="1396"/>
      <c r="K564" s="1399"/>
      <c r="L564" s="1396"/>
      <c r="M564" s="1399"/>
      <c r="N564" s="1396"/>
      <c r="O564" s="1399"/>
      <c r="P564" s="1396"/>
      <c r="Q564" s="1399"/>
      <c r="R564" s="1396"/>
      <c r="S564" s="1399"/>
      <c r="T564" s="1396"/>
      <c r="U564" s="1409"/>
      <c r="V564" s="1412"/>
    </row>
    <row r="565" spans="1:22" ht="13.5" customHeight="1">
      <c r="B565" s="1254" t="s">
        <v>2018</v>
      </c>
      <c r="C565" s="1254" t="s">
        <v>703</v>
      </c>
      <c r="D565" s="1270"/>
      <c r="E565" s="1304"/>
      <c r="F565" s="1305"/>
      <c r="G565" s="1339"/>
      <c r="H565" s="1296"/>
      <c r="I565" s="1339"/>
      <c r="J565" s="1296"/>
      <c r="K565" s="1339"/>
      <c r="L565" s="1296"/>
      <c r="M565" s="1339"/>
      <c r="N565" s="1296"/>
      <c r="O565" s="1339"/>
      <c r="P565" s="1296"/>
      <c r="Q565" s="1339"/>
      <c r="R565" s="1296"/>
      <c r="S565" s="1339"/>
      <c r="T565" s="1296"/>
      <c r="U565" s="1297"/>
      <c r="V565" s="1298"/>
    </row>
    <row r="566" spans="1:22" ht="14.25" outlineLevel="1">
      <c r="A566" s="1233"/>
      <c r="B566" s="1278" t="s">
        <v>1955</v>
      </c>
      <c r="C566" s="1278" t="s">
        <v>703</v>
      </c>
      <c r="D566" s="1286" t="s">
        <v>704</v>
      </c>
      <c r="E566" s="1323" t="s">
        <v>705</v>
      </c>
      <c r="F566" s="1281">
        <v>439.95</v>
      </c>
      <c r="G566" s="1338"/>
      <c r="H566" s="1282">
        <f t="shared" si="99"/>
        <v>0</v>
      </c>
      <c r="I566" s="1338"/>
      <c r="J566" s="1282">
        <f t="shared" ref="J566:J580" si="100">F566*I566</f>
        <v>0</v>
      </c>
      <c r="K566" s="1338"/>
      <c r="L566" s="1282">
        <f t="shared" ref="L566:L580" si="101">F566*K566</f>
        <v>0</v>
      </c>
      <c r="M566" s="1338"/>
      <c r="N566" s="1282">
        <f t="shared" ref="N566:N580" si="102">F566*M566</f>
        <v>0</v>
      </c>
      <c r="O566" s="1338"/>
      <c r="P566" s="1282">
        <f t="shared" ref="P566:P580" si="103">F566*O566</f>
        <v>0</v>
      </c>
      <c r="Q566" s="1338"/>
      <c r="R566" s="1282">
        <f t="shared" ref="R566:R580" si="104">F566*Q566</f>
        <v>0</v>
      </c>
      <c r="S566" s="1338"/>
      <c r="T566" s="1283">
        <f t="shared" ref="T566:T580" si="105">F566*S566</f>
        <v>0</v>
      </c>
      <c r="U566" s="1284">
        <f t="shared" ref="U566:U580" si="106">G566+I566+K566+M566+O566+Q566+S566</f>
        <v>0</v>
      </c>
      <c r="V566" s="1285">
        <f t="shared" ref="V566:V580" si="107">U566*F566</f>
        <v>0</v>
      </c>
    </row>
    <row r="567" spans="1:22" ht="14.25" outlineLevel="1">
      <c r="A567" s="1233"/>
      <c r="B567" s="1278" t="s">
        <v>1956</v>
      </c>
      <c r="C567" s="1278" t="s">
        <v>703</v>
      </c>
      <c r="D567" s="1286" t="s">
        <v>704</v>
      </c>
      <c r="E567" s="1323" t="s">
        <v>706</v>
      </c>
      <c r="F567" s="1281">
        <v>733.25</v>
      </c>
      <c r="G567" s="1338"/>
      <c r="H567" s="1282">
        <f t="shared" si="99"/>
        <v>0</v>
      </c>
      <c r="I567" s="1338"/>
      <c r="J567" s="1282">
        <f t="shared" si="100"/>
        <v>0</v>
      </c>
      <c r="K567" s="1338"/>
      <c r="L567" s="1282">
        <f t="shared" si="101"/>
        <v>0</v>
      </c>
      <c r="M567" s="1338"/>
      <c r="N567" s="1282">
        <f t="shared" si="102"/>
        <v>0</v>
      </c>
      <c r="O567" s="1338"/>
      <c r="P567" s="1282">
        <f t="shared" si="103"/>
        <v>0</v>
      </c>
      <c r="Q567" s="1338"/>
      <c r="R567" s="1282">
        <f t="shared" si="104"/>
        <v>0</v>
      </c>
      <c r="S567" s="1338"/>
      <c r="T567" s="1283">
        <f t="shared" si="105"/>
        <v>0</v>
      </c>
      <c r="U567" s="1284">
        <f t="shared" si="106"/>
        <v>0</v>
      </c>
      <c r="V567" s="1285">
        <f t="shared" si="107"/>
        <v>0</v>
      </c>
    </row>
    <row r="568" spans="1:22" ht="14.25" outlineLevel="1">
      <c r="A568" s="1233"/>
      <c r="B568" s="1278" t="s">
        <v>1957</v>
      </c>
      <c r="C568" s="1278" t="s">
        <v>703</v>
      </c>
      <c r="D568" s="1286" t="s">
        <v>704</v>
      </c>
      <c r="E568" s="1323" t="s">
        <v>707</v>
      </c>
      <c r="F568" s="1281">
        <v>1173.1999999999998</v>
      </c>
      <c r="G568" s="1338"/>
      <c r="H568" s="1282">
        <f t="shared" si="99"/>
        <v>0</v>
      </c>
      <c r="I568" s="1338"/>
      <c r="J568" s="1282">
        <f t="shared" si="100"/>
        <v>0</v>
      </c>
      <c r="K568" s="1338"/>
      <c r="L568" s="1282">
        <f t="shared" si="101"/>
        <v>0</v>
      </c>
      <c r="M568" s="1338"/>
      <c r="N568" s="1282">
        <f t="shared" si="102"/>
        <v>0</v>
      </c>
      <c r="O568" s="1338"/>
      <c r="P568" s="1282">
        <f t="shared" si="103"/>
        <v>0</v>
      </c>
      <c r="Q568" s="1338"/>
      <c r="R568" s="1282">
        <f t="shared" si="104"/>
        <v>0</v>
      </c>
      <c r="S568" s="1338"/>
      <c r="T568" s="1283">
        <f t="shared" si="105"/>
        <v>0</v>
      </c>
      <c r="U568" s="1284">
        <f t="shared" si="106"/>
        <v>0</v>
      </c>
      <c r="V568" s="1285">
        <f t="shared" si="107"/>
        <v>0</v>
      </c>
    </row>
    <row r="569" spans="1:22" ht="14.25" outlineLevel="1">
      <c r="A569" s="1233"/>
      <c r="B569" s="1278" t="s">
        <v>1958</v>
      </c>
      <c r="C569" s="1278" t="s">
        <v>703</v>
      </c>
      <c r="D569" s="1286" t="s">
        <v>704</v>
      </c>
      <c r="E569" s="1323" t="s">
        <v>708</v>
      </c>
      <c r="F569" s="1281">
        <v>1759.8</v>
      </c>
      <c r="G569" s="1338"/>
      <c r="H569" s="1282">
        <f t="shared" si="99"/>
        <v>0</v>
      </c>
      <c r="I569" s="1338"/>
      <c r="J569" s="1282">
        <f t="shared" si="100"/>
        <v>0</v>
      </c>
      <c r="K569" s="1338"/>
      <c r="L569" s="1282">
        <f t="shared" si="101"/>
        <v>0</v>
      </c>
      <c r="M569" s="1338"/>
      <c r="N569" s="1282">
        <f t="shared" si="102"/>
        <v>0</v>
      </c>
      <c r="O569" s="1338"/>
      <c r="P569" s="1282">
        <f t="shared" si="103"/>
        <v>0</v>
      </c>
      <c r="Q569" s="1338"/>
      <c r="R569" s="1282">
        <f t="shared" si="104"/>
        <v>0</v>
      </c>
      <c r="S569" s="1338"/>
      <c r="T569" s="1283">
        <f t="shared" si="105"/>
        <v>0</v>
      </c>
      <c r="U569" s="1284">
        <f t="shared" si="106"/>
        <v>0</v>
      </c>
      <c r="V569" s="1285">
        <f t="shared" si="107"/>
        <v>0</v>
      </c>
    </row>
    <row r="570" spans="1:22" ht="14.25" outlineLevel="1">
      <c r="A570" s="1233"/>
      <c r="B570" s="1278" t="s">
        <v>1959</v>
      </c>
      <c r="C570" s="1278" t="s">
        <v>703</v>
      </c>
      <c r="D570" s="1286" t="s">
        <v>704</v>
      </c>
      <c r="E570" s="1323" t="s">
        <v>709</v>
      </c>
      <c r="F570" s="1281">
        <v>2346.3999999999996</v>
      </c>
      <c r="G570" s="1338"/>
      <c r="H570" s="1282">
        <f t="shared" si="99"/>
        <v>0</v>
      </c>
      <c r="I570" s="1338"/>
      <c r="J570" s="1282">
        <f t="shared" si="100"/>
        <v>0</v>
      </c>
      <c r="K570" s="1338"/>
      <c r="L570" s="1282">
        <f t="shared" si="101"/>
        <v>0</v>
      </c>
      <c r="M570" s="1338"/>
      <c r="N570" s="1282">
        <f t="shared" si="102"/>
        <v>0</v>
      </c>
      <c r="O570" s="1338"/>
      <c r="P570" s="1282">
        <f t="shared" si="103"/>
        <v>0</v>
      </c>
      <c r="Q570" s="1338"/>
      <c r="R570" s="1282">
        <f t="shared" si="104"/>
        <v>0</v>
      </c>
      <c r="S570" s="1338"/>
      <c r="T570" s="1283">
        <f t="shared" si="105"/>
        <v>0</v>
      </c>
      <c r="U570" s="1284">
        <f t="shared" si="106"/>
        <v>0</v>
      </c>
      <c r="V570" s="1285">
        <f t="shared" si="107"/>
        <v>0</v>
      </c>
    </row>
    <row r="571" spans="1:22" ht="14.25" outlineLevel="1">
      <c r="A571" s="1233"/>
      <c r="B571" s="1278" t="s">
        <v>1960</v>
      </c>
      <c r="C571" s="1278" t="s">
        <v>703</v>
      </c>
      <c r="D571" s="1286" t="s">
        <v>704</v>
      </c>
      <c r="E571" s="1323" t="s">
        <v>710</v>
      </c>
      <c r="F571" s="1281">
        <v>2933</v>
      </c>
      <c r="G571" s="1338"/>
      <c r="H571" s="1282">
        <f t="shared" si="99"/>
        <v>0</v>
      </c>
      <c r="I571" s="1338"/>
      <c r="J571" s="1282">
        <f t="shared" si="100"/>
        <v>0</v>
      </c>
      <c r="K571" s="1338"/>
      <c r="L571" s="1282">
        <f t="shared" si="101"/>
        <v>0</v>
      </c>
      <c r="M571" s="1338"/>
      <c r="N571" s="1282">
        <f t="shared" si="102"/>
        <v>0</v>
      </c>
      <c r="O571" s="1338"/>
      <c r="P571" s="1282">
        <f t="shared" si="103"/>
        <v>0</v>
      </c>
      <c r="Q571" s="1338"/>
      <c r="R571" s="1282">
        <f t="shared" si="104"/>
        <v>0</v>
      </c>
      <c r="S571" s="1338"/>
      <c r="T571" s="1283">
        <f t="shared" si="105"/>
        <v>0</v>
      </c>
      <c r="U571" s="1284">
        <f t="shared" si="106"/>
        <v>0</v>
      </c>
      <c r="V571" s="1285">
        <f t="shared" si="107"/>
        <v>0</v>
      </c>
    </row>
    <row r="572" spans="1:22" ht="14.25" outlineLevel="1">
      <c r="A572" s="1233"/>
      <c r="B572" s="1278" t="s">
        <v>1961</v>
      </c>
      <c r="C572" s="1278" t="s">
        <v>703</v>
      </c>
      <c r="D572" s="1286" t="s">
        <v>704</v>
      </c>
      <c r="E572" s="1323" t="s">
        <v>711</v>
      </c>
      <c r="F572" s="1281">
        <v>3519.6</v>
      </c>
      <c r="G572" s="1338"/>
      <c r="H572" s="1282">
        <f t="shared" si="99"/>
        <v>0</v>
      </c>
      <c r="I572" s="1338"/>
      <c r="J572" s="1282">
        <f t="shared" si="100"/>
        <v>0</v>
      </c>
      <c r="K572" s="1338"/>
      <c r="L572" s="1282">
        <f t="shared" si="101"/>
        <v>0</v>
      </c>
      <c r="M572" s="1338"/>
      <c r="N572" s="1282">
        <f t="shared" si="102"/>
        <v>0</v>
      </c>
      <c r="O572" s="1338"/>
      <c r="P572" s="1282">
        <f t="shared" si="103"/>
        <v>0</v>
      </c>
      <c r="Q572" s="1338"/>
      <c r="R572" s="1282">
        <f t="shared" si="104"/>
        <v>0</v>
      </c>
      <c r="S572" s="1338"/>
      <c r="T572" s="1283">
        <f t="shared" si="105"/>
        <v>0</v>
      </c>
      <c r="U572" s="1284">
        <f t="shared" si="106"/>
        <v>0</v>
      </c>
      <c r="V572" s="1285">
        <f t="shared" si="107"/>
        <v>0</v>
      </c>
    </row>
    <row r="573" spans="1:22" ht="14.25" outlineLevel="1">
      <c r="A573" s="1233"/>
      <c r="B573" s="1278" t="s">
        <v>1962</v>
      </c>
      <c r="C573" s="1278" t="s">
        <v>703</v>
      </c>
      <c r="D573" s="1286" t="s">
        <v>704</v>
      </c>
      <c r="E573" s="1323" t="s">
        <v>712</v>
      </c>
      <c r="F573" s="1281">
        <v>4106.2</v>
      </c>
      <c r="G573" s="1338"/>
      <c r="H573" s="1282">
        <f t="shared" si="99"/>
        <v>0</v>
      </c>
      <c r="I573" s="1338"/>
      <c r="J573" s="1282">
        <f t="shared" si="100"/>
        <v>0</v>
      </c>
      <c r="K573" s="1338"/>
      <c r="L573" s="1282">
        <f t="shared" si="101"/>
        <v>0</v>
      </c>
      <c r="M573" s="1338"/>
      <c r="N573" s="1282">
        <f t="shared" si="102"/>
        <v>0</v>
      </c>
      <c r="O573" s="1338"/>
      <c r="P573" s="1282">
        <f t="shared" si="103"/>
        <v>0</v>
      </c>
      <c r="Q573" s="1338"/>
      <c r="R573" s="1282">
        <f t="shared" si="104"/>
        <v>0</v>
      </c>
      <c r="S573" s="1338"/>
      <c r="T573" s="1283">
        <f t="shared" si="105"/>
        <v>0</v>
      </c>
      <c r="U573" s="1284">
        <f t="shared" si="106"/>
        <v>0</v>
      </c>
      <c r="V573" s="1285">
        <f t="shared" si="107"/>
        <v>0</v>
      </c>
    </row>
    <row r="574" spans="1:22" ht="14.25" outlineLevel="1">
      <c r="A574" s="1233"/>
      <c r="B574" s="1278" t="s">
        <v>1963</v>
      </c>
      <c r="C574" s="1278" t="s">
        <v>703</v>
      </c>
      <c r="D574" s="1286" t="s">
        <v>704</v>
      </c>
      <c r="E574" s="1323" t="s">
        <v>713</v>
      </c>
      <c r="F574" s="1281">
        <v>4692.7999999999993</v>
      </c>
      <c r="G574" s="1338"/>
      <c r="H574" s="1282">
        <f t="shared" si="99"/>
        <v>0</v>
      </c>
      <c r="I574" s="1338"/>
      <c r="J574" s="1282">
        <f t="shared" si="100"/>
        <v>0</v>
      </c>
      <c r="K574" s="1338"/>
      <c r="L574" s="1282">
        <f t="shared" si="101"/>
        <v>0</v>
      </c>
      <c r="M574" s="1338"/>
      <c r="N574" s="1282">
        <f t="shared" si="102"/>
        <v>0</v>
      </c>
      <c r="O574" s="1338"/>
      <c r="P574" s="1282">
        <f t="shared" si="103"/>
        <v>0</v>
      </c>
      <c r="Q574" s="1338"/>
      <c r="R574" s="1282">
        <f t="shared" si="104"/>
        <v>0</v>
      </c>
      <c r="S574" s="1338"/>
      <c r="T574" s="1283">
        <f t="shared" si="105"/>
        <v>0</v>
      </c>
      <c r="U574" s="1284">
        <f t="shared" si="106"/>
        <v>0</v>
      </c>
      <c r="V574" s="1285">
        <f t="shared" si="107"/>
        <v>0</v>
      </c>
    </row>
    <row r="575" spans="1:22" ht="14.25" outlineLevel="1">
      <c r="A575" s="1233"/>
      <c r="B575" s="1278" t="s">
        <v>1964</v>
      </c>
      <c r="C575" s="1278" t="s">
        <v>703</v>
      </c>
      <c r="D575" s="1286" t="s">
        <v>704</v>
      </c>
      <c r="E575" s="1323" t="s">
        <v>714</v>
      </c>
      <c r="F575" s="1281">
        <v>5572.7</v>
      </c>
      <c r="G575" s="1338"/>
      <c r="H575" s="1282">
        <f t="shared" si="99"/>
        <v>0</v>
      </c>
      <c r="I575" s="1338"/>
      <c r="J575" s="1282">
        <f t="shared" si="100"/>
        <v>0</v>
      </c>
      <c r="K575" s="1338"/>
      <c r="L575" s="1282">
        <f t="shared" si="101"/>
        <v>0</v>
      </c>
      <c r="M575" s="1338"/>
      <c r="N575" s="1282">
        <f t="shared" si="102"/>
        <v>0</v>
      </c>
      <c r="O575" s="1338"/>
      <c r="P575" s="1282">
        <f t="shared" si="103"/>
        <v>0</v>
      </c>
      <c r="Q575" s="1338"/>
      <c r="R575" s="1282">
        <f t="shared" si="104"/>
        <v>0</v>
      </c>
      <c r="S575" s="1338"/>
      <c r="T575" s="1283">
        <f t="shared" si="105"/>
        <v>0</v>
      </c>
      <c r="U575" s="1284">
        <f t="shared" si="106"/>
        <v>0</v>
      </c>
      <c r="V575" s="1285">
        <f t="shared" si="107"/>
        <v>0</v>
      </c>
    </row>
    <row r="576" spans="1:22" ht="14.25" outlineLevel="1">
      <c r="A576" s="1233"/>
      <c r="B576" s="1278" t="s">
        <v>1965</v>
      </c>
      <c r="C576" s="1278" t="s">
        <v>703</v>
      </c>
      <c r="D576" s="1286" t="s">
        <v>704</v>
      </c>
      <c r="E576" s="1323" t="s">
        <v>715</v>
      </c>
      <c r="F576" s="1281">
        <v>6745.9</v>
      </c>
      <c r="G576" s="1338"/>
      <c r="H576" s="1282">
        <f t="shared" si="99"/>
        <v>0</v>
      </c>
      <c r="I576" s="1338"/>
      <c r="J576" s="1282">
        <f t="shared" si="100"/>
        <v>0</v>
      </c>
      <c r="K576" s="1338"/>
      <c r="L576" s="1282">
        <f t="shared" si="101"/>
        <v>0</v>
      </c>
      <c r="M576" s="1338"/>
      <c r="N576" s="1282">
        <f t="shared" si="102"/>
        <v>0</v>
      </c>
      <c r="O576" s="1338"/>
      <c r="P576" s="1282">
        <f t="shared" si="103"/>
        <v>0</v>
      </c>
      <c r="Q576" s="1338"/>
      <c r="R576" s="1282">
        <f t="shared" si="104"/>
        <v>0</v>
      </c>
      <c r="S576" s="1338"/>
      <c r="T576" s="1283">
        <f t="shared" si="105"/>
        <v>0</v>
      </c>
      <c r="U576" s="1284">
        <f t="shared" si="106"/>
        <v>0</v>
      </c>
      <c r="V576" s="1285">
        <f t="shared" si="107"/>
        <v>0</v>
      </c>
    </row>
    <row r="577" spans="1:22" ht="14.25" outlineLevel="1">
      <c r="A577" s="1233"/>
      <c r="B577" s="1278" t="s">
        <v>1966</v>
      </c>
      <c r="C577" s="1278" t="s">
        <v>703</v>
      </c>
      <c r="D577" s="1286" t="s">
        <v>704</v>
      </c>
      <c r="E577" s="1323" t="s">
        <v>716</v>
      </c>
      <c r="F577" s="1281">
        <v>7919.0999999999995</v>
      </c>
      <c r="G577" s="1338"/>
      <c r="H577" s="1282">
        <f t="shared" si="99"/>
        <v>0</v>
      </c>
      <c r="I577" s="1338"/>
      <c r="J577" s="1282">
        <f t="shared" si="100"/>
        <v>0</v>
      </c>
      <c r="K577" s="1338"/>
      <c r="L577" s="1282">
        <f t="shared" si="101"/>
        <v>0</v>
      </c>
      <c r="M577" s="1338"/>
      <c r="N577" s="1282">
        <f t="shared" si="102"/>
        <v>0</v>
      </c>
      <c r="O577" s="1338"/>
      <c r="P577" s="1282">
        <f t="shared" si="103"/>
        <v>0</v>
      </c>
      <c r="Q577" s="1338"/>
      <c r="R577" s="1282">
        <f t="shared" si="104"/>
        <v>0</v>
      </c>
      <c r="S577" s="1338"/>
      <c r="T577" s="1283">
        <f t="shared" si="105"/>
        <v>0</v>
      </c>
      <c r="U577" s="1284">
        <f t="shared" si="106"/>
        <v>0</v>
      </c>
      <c r="V577" s="1285">
        <f t="shared" si="107"/>
        <v>0</v>
      </c>
    </row>
    <row r="578" spans="1:22" ht="14.25" outlineLevel="1">
      <c r="A578" s="1233"/>
      <c r="B578" s="1278" t="s">
        <v>1967</v>
      </c>
      <c r="C578" s="1278" t="s">
        <v>703</v>
      </c>
      <c r="D578" s="1286" t="s">
        <v>704</v>
      </c>
      <c r="E578" s="1323" t="s">
        <v>717</v>
      </c>
      <c r="F578" s="1281">
        <v>9092.2999999999993</v>
      </c>
      <c r="G578" s="1338"/>
      <c r="H578" s="1282">
        <f t="shared" si="99"/>
        <v>0</v>
      </c>
      <c r="I578" s="1338"/>
      <c r="J578" s="1282">
        <f t="shared" si="100"/>
        <v>0</v>
      </c>
      <c r="K578" s="1338"/>
      <c r="L578" s="1282">
        <f t="shared" si="101"/>
        <v>0</v>
      </c>
      <c r="M578" s="1338"/>
      <c r="N578" s="1282">
        <f t="shared" si="102"/>
        <v>0</v>
      </c>
      <c r="O578" s="1338"/>
      <c r="P578" s="1282">
        <f t="shared" si="103"/>
        <v>0</v>
      </c>
      <c r="Q578" s="1338"/>
      <c r="R578" s="1282">
        <f t="shared" si="104"/>
        <v>0</v>
      </c>
      <c r="S578" s="1338"/>
      <c r="T578" s="1283">
        <f t="shared" si="105"/>
        <v>0</v>
      </c>
      <c r="U578" s="1284">
        <f t="shared" si="106"/>
        <v>0</v>
      </c>
      <c r="V578" s="1285">
        <f t="shared" si="107"/>
        <v>0</v>
      </c>
    </row>
    <row r="579" spans="1:22" ht="14.25" outlineLevel="1">
      <c r="A579" s="1233"/>
      <c r="B579" s="1278" t="s">
        <v>1968</v>
      </c>
      <c r="C579" s="1278" t="s">
        <v>703</v>
      </c>
      <c r="D579" s="1286" t="s">
        <v>704</v>
      </c>
      <c r="E579" s="1323" t="s">
        <v>718</v>
      </c>
      <c r="F579" s="1281">
        <v>10265.5</v>
      </c>
      <c r="G579" s="1338"/>
      <c r="H579" s="1282">
        <f t="shared" si="99"/>
        <v>0</v>
      </c>
      <c r="I579" s="1338"/>
      <c r="J579" s="1282">
        <f t="shared" si="100"/>
        <v>0</v>
      </c>
      <c r="K579" s="1338"/>
      <c r="L579" s="1282">
        <f t="shared" si="101"/>
        <v>0</v>
      </c>
      <c r="M579" s="1338"/>
      <c r="N579" s="1282">
        <f t="shared" si="102"/>
        <v>0</v>
      </c>
      <c r="O579" s="1338"/>
      <c r="P579" s="1282">
        <f t="shared" si="103"/>
        <v>0</v>
      </c>
      <c r="Q579" s="1338"/>
      <c r="R579" s="1282">
        <f t="shared" si="104"/>
        <v>0</v>
      </c>
      <c r="S579" s="1338"/>
      <c r="T579" s="1283">
        <f t="shared" si="105"/>
        <v>0</v>
      </c>
      <c r="U579" s="1284">
        <f t="shared" si="106"/>
        <v>0</v>
      </c>
      <c r="V579" s="1285">
        <f t="shared" si="107"/>
        <v>0</v>
      </c>
    </row>
    <row r="580" spans="1:22" ht="14.25" outlineLevel="1">
      <c r="A580" s="1233"/>
      <c r="B580" s="1278" t="s">
        <v>1969</v>
      </c>
      <c r="C580" s="1278" t="s">
        <v>703</v>
      </c>
      <c r="D580" s="1286" t="s">
        <v>704</v>
      </c>
      <c r="E580" s="1323" t="s">
        <v>719</v>
      </c>
      <c r="F580" s="1281">
        <v>11438.699999999999</v>
      </c>
      <c r="G580" s="1338"/>
      <c r="H580" s="1282">
        <f t="shared" si="99"/>
        <v>0</v>
      </c>
      <c r="I580" s="1338"/>
      <c r="J580" s="1282">
        <f t="shared" si="100"/>
        <v>0</v>
      </c>
      <c r="K580" s="1338"/>
      <c r="L580" s="1282">
        <f t="shared" si="101"/>
        <v>0</v>
      </c>
      <c r="M580" s="1338"/>
      <c r="N580" s="1282">
        <f t="shared" si="102"/>
        <v>0</v>
      </c>
      <c r="O580" s="1338"/>
      <c r="P580" s="1282">
        <f t="shared" si="103"/>
        <v>0</v>
      </c>
      <c r="Q580" s="1338"/>
      <c r="R580" s="1282">
        <f t="shared" si="104"/>
        <v>0</v>
      </c>
      <c r="S580" s="1338"/>
      <c r="T580" s="1283">
        <f t="shared" si="105"/>
        <v>0</v>
      </c>
      <c r="U580" s="1284">
        <f t="shared" si="106"/>
        <v>0</v>
      </c>
      <c r="V580" s="1285">
        <f t="shared" si="107"/>
        <v>0</v>
      </c>
    </row>
    <row r="581" spans="1:22" ht="14.25" outlineLevel="1">
      <c r="A581" s="1233"/>
      <c r="B581" s="1278" t="s">
        <v>1970</v>
      </c>
      <c r="C581" s="1278" t="s">
        <v>703</v>
      </c>
      <c r="D581" s="1286" t="s">
        <v>704</v>
      </c>
      <c r="E581" s="1323" t="s">
        <v>720</v>
      </c>
      <c r="F581" s="1281">
        <v>12611.9</v>
      </c>
      <c r="G581" s="1338"/>
      <c r="H581" s="1282">
        <f t="shared" ref="H581:H592" si="108">F581*G581</f>
        <v>0</v>
      </c>
      <c r="I581" s="1338"/>
      <c r="J581" s="1282">
        <f t="shared" ref="J581:J592" si="109">F581*I581</f>
        <v>0</v>
      </c>
      <c r="K581" s="1338"/>
      <c r="L581" s="1282">
        <f t="shared" ref="L581:L592" si="110">F581*K581</f>
        <v>0</v>
      </c>
      <c r="M581" s="1338"/>
      <c r="N581" s="1282">
        <f t="shared" ref="N581:N592" si="111">F581*M581</f>
        <v>0</v>
      </c>
      <c r="O581" s="1338"/>
      <c r="P581" s="1282">
        <f t="shared" ref="P581:P592" si="112">F581*O581</f>
        <v>0</v>
      </c>
      <c r="Q581" s="1338"/>
      <c r="R581" s="1282">
        <f t="shared" ref="R581:R592" si="113">F581*Q581</f>
        <v>0</v>
      </c>
      <c r="S581" s="1338"/>
      <c r="T581" s="1283">
        <f t="shared" ref="T581:T592" si="114">F581*S581</f>
        <v>0</v>
      </c>
      <c r="U581" s="1284">
        <f t="shared" ref="U581:U592" si="115">G581+I581+K581+M581+O581+Q581+S581</f>
        <v>0</v>
      </c>
      <c r="V581" s="1285">
        <f t="shared" ref="V581:V592" si="116">U581*F581</f>
        <v>0</v>
      </c>
    </row>
    <row r="582" spans="1:22" ht="14.25" outlineLevel="1">
      <c r="A582" s="1233"/>
      <c r="B582" s="1278" t="s">
        <v>1971</v>
      </c>
      <c r="C582" s="1278" t="s">
        <v>703</v>
      </c>
      <c r="D582" s="1286" t="s">
        <v>704</v>
      </c>
      <c r="E582" s="1323" t="s">
        <v>721</v>
      </c>
      <c r="F582" s="1281">
        <v>13785.099999999999</v>
      </c>
      <c r="G582" s="1338"/>
      <c r="H582" s="1282">
        <f>F582*G582</f>
        <v>0</v>
      </c>
      <c r="I582" s="1338"/>
      <c r="J582" s="1282">
        <f t="shared" si="109"/>
        <v>0</v>
      </c>
      <c r="K582" s="1338"/>
      <c r="L582" s="1282">
        <f t="shared" si="110"/>
        <v>0</v>
      </c>
      <c r="M582" s="1338"/>
      <c r="N582" s="1282">
        <f t="shared" si="111"/>
        <v>0</v>
      </c>
      <c r="O582" s="1338"/>
      <c r="P582" s="1282">
        <f t="shared" si="112"/>
        <v>0</v>
      </c>
      <c r="Q582" s="1338"/>
      <c r="R582" s="1282">
        <f t="shared" si="113"/>
        <v>0</v>
      </c>
      <c r="S582" s="1338"/>
      <c r="T582" s="1283">
        <f t="shared" si="114"/>
        <v>0</v>
      </c>
      <c r="U582" s="1284">
        <f t="shared" si="115"/>
        <v>0</v>
      </c>
      <c r="V582" s="1285">
        <f t="shared" si="116"/>
        <v>0</v>
      </c>
    </row>
    <row r="583" spans="1:22" ht="14.25" outlineLevel="1">
      <c r="A583" s="1233"/>
      <c r="B583" s="1278" t="s">
        <v>1972</v>
      </c>
      <c r="C583" s="1278" t="s">
        <v>703</v>
      </c>
      <c r="D583" s="1286" t="s">
        <v>704</v>
      </c>
      <c r="E583" s="1323" t="s">
        <v>722</v>
      </c>
      <c r="F583" s="1281">
        <v>15544.9</v>
      </c>
      <c r="G583" s="1338"/>
      <c r="H583" s="1282">
        <f t="shared" si="108"/>
        <v>0</v>
      </c>
      <c r="I583" s="1338"/>
      <c r="J583" s="1282">
        <f t="shared" si="109"/>
        <v>0</v>
      </c>
      <c r="K583" s="1338"/>
      <c r="L583" s="1282">
        <f t="shared" si="110"/>
        <v>0</v>
      </c>
      <c r="M583" s="1338"/>
      <c r="N583" s="1282">
        <f t="shared" si="111"/>
        <v>0</v>
      </c>
      <c r="O583" s="1338"/>
      <c r="P583" s="1282">
        <f t="shared" si="112"/>
        <v>0</v>
      </c>
      <c r="Q583" s="1338"/>
      <c r="R583" s="1282">
        <f t="shared" si="113"/>
        <v>0</v>
      </c>
      <c r="S583" s="1338"/>
      <c r="T583" s="1283">
        <f t="shared" si="114"/>
        <v>0</v>
      </c>
      <c r="U583" s="1284">
        <f t="shared" si="115"/>
        <v>0</v>
      </c>
      <c r="V583" s="1285">
        <f t="shared" si="116"/>
        <v>0</v>
      </c>
    </row>
    <row r="584" spans="1:22" ht="14.25" outlineLevel="1">
      <c r="A584" s="1233"/>
      <c r="B584" s="1278" t="s">
        <v>1973</v>
      </c>
      <c r="C584" s="1278" t="s">
        <v>703</v>
      </c>
      <c r="D584" s="1286" t="s">
        <v>704</v>
      </c>
      <c r="E584" s="1323" t="s">
        <v>723</v>
      </c>
      <c r="F584" s="1281">
        <v>17891.3</v>
      </c>
      <c r="G584" s="1338"/>
      <c r="H584" s="1282">
        <f t="shared" si="108"/>
        <v>0</v>
      </c>
      <c r="I584" s="1338"/>
      <c r="J584" s="1282">
        <f t="shared" si="109"/>
        <v>0</v>
      </c>
      <c r="K584" s="1338"/>
      <c r="L584" s="1282">
        <f t="shared" si="110"/>
        <v>0</v>
      </c>
      <c r="M584" s="1338"/>
      <c r="N584" s="1282">
        <f t="shared" si="111"/>
        <v>0</v>
      </c>
      <c r="O584" s="1338"/>
      <c r="P584" s="1282">
        <f t="shared" si="112"/>
        <v>0</v>
      </c>
      <c r="Q584" s="1338"/>
      <c r="R584" s="1282">
        <f t="shared" si="113"/>
        <v>0</v>
      </c>
      <c r="S584" s="1338"/>
      <c r="T584" s="1283">
        <f t="shared" si="114"/>
        <v>0</v>
      </c>
      <c r="U584" s="1284">
        <f t="shared" si="115"/>
        <v>0</v>
      </c>
      <c r="V584" s="1285">
        <f t="shared" si="116"/>
        <v>0</v>
      </c>
    </row>
    <row r="585" spans="1:22" ht="14.25" outlineLevel="1">
      <c r="A585" s="1233"/>
      <c r="B585" s="1278" t="s">
        <v>1974</v>
      </c>
      <c r="C585" s="1278" t="s">
        <v>703</v>
      </c>
      <c r="D585" s="1286" t="s">
        <v>704</v>
      </c>
      <c r="E585" s="1323" t="s">
        <v>724</v>
      </c>
      <c r="F585" s="1281">
        <v>20237.699999999997</v>
      </c>
      <c r="G585" s="1338"/>
      <c r="H585" s="1282">
        <f t="shared" si="108"/>
        <v>0</v>
      </c>
      <c r="I585" s="1338"/>
      <c r="J585" s="1282">
        <f t="shared" si="109"/>
        <v>0</v>
      </c>
      <c r="K585" s="1338"/>
      <c r="L585" s="1282">
        <f t="shared" si="110"/>
        <v>0</v>
      </c>
      <c r="M585" s="1338"/>
      <c r="N585" s="1282">
        <f t="shared" si="111"/>
        <v>0</v>
      </c>
      <c r="O585" s="1338"/>
      <c r="P585" s="1282">
        <f t="shared" si="112"/>
        <v>0</v>
      </c>
      <c r="Q585" s="1338"/>
      <c r="R585" s="1282">
        <f t="shared" si="113"/>
        <v>0</v>
      </c>
      <c r="S585" s="1338"/>
      <c r="T585" s="1283">
        <f t="shared" si="114"/>
        <v>0</v>
      </c>
      <c r="U585" s="1284">
        <f t="shared" si="115"/>
        <v>0</v>
      </c>
      <c r="V585" s="1285">
        <f t="shared" si="116"/>
        <v>0</v>
      </c>
    </row>
    <row r="586" spans="1:22" ht="14.25" outlineLevel="1">
      <c r="A586" s="1233"/>
      <c r="B586" s="1278" t="s">
        <v>1975</v>
      </c>
      <c r="C586" s="1278" t="s">
        <v>703</v>
      </c>
      <c r="D586" s="1286" t="s">
        <v>704</v>
      </c>
      <c r="E586" s="1323" t="s">
        <v>725</v>
      </c>
      <c r="F586" s="1281">
        <v>23757.3</v>
      </c>
      <c r="G586" s="1338"/>
      <c r="H586" s="1282">
        <f t="shared" si="108"/>
        <v>0</v>
      </c>
      <c r="I586" s="1338"/>
      <c r="J586" s="1282">
        <f t="shared" si="109"/>
        <v>0</v>
      </c>
      <c r="K586" s="1338"/>
      <c r="L586" s="1282">
        <f t="shared" si="110"/>
        <v>0</v>
      </c>
      <c r="M586" s="1338"/>
      <c r="N586" s="1282">
        <f t="shared" si="111"/>
        <v>0</v>
      </c>
      <c r="O586" s="1338"/>
      <c r="P586" s="1282">
        <f t="shared" si="112"/>
        <v>0</v>
      </c>
      <c r="Q586" s="1338"/>
      <c r="R586" s="1282">
        <f t="shared" si="113"/>
        <v>0</v>
      </c>
      <c r="S586" s="1338"/>
      <c r="T586" s="1283">
        <f t="shared" si="114"/>
        <v>0</v>
      </c>
      <c r="U586" s="1284">
        <f t="shared" si="115"/>
        <v>0</v>
      </c>
      <c r="V586" s="1285">
        <f t="shared" si="116"/>
        <v>0</v>
      </c>
    </row>
    <row r="587" spans="1:22" ht="14.25" outlineLevel="1">
      <c r="A587" s="1233"/>
      <c r="B587" s="1278" t="s">
        <v>1976</v>
      </c>
      <c r="C587" s="1278" t="s">
        <v>703</v>
      </c>
      <c r="D587" s="1286" t="s">
        <v>704</v>
      </c>
      <c r="E587" s="1323" t="s">
        <v>726</v>
      </c>
      <c r="F587" s="1281">
        <v>28450.1</v>
      </c>
      <c r="G587" s="1338"/>
      <c r="H587" s="1282">
        <f t="shared" si="108"/>
        <v>0</v>
      </c>
      <c r="I587" s="1338"/>
      <c r="J587" s="1282">
        <f t="shared" si="109"/>
        <v>0</v>
      </c>
      <c r="K587" s="1338"/>
      <c r="L587" s="1282">
        <f t="shared" si="110"/>
        <v>0</v>
      </c>
      <c r="M587" s="1338"/>
      <c r="N587" s="1282">
        <f t="shared" si="111"/>
        <v>0</v>
      </c>
      <c r="O587" s="1338"/>
      <c r="P587" s="1282">
        <f t="shared" si="112"/>
        <v>0</v>
      </c>
      <c r="Q587" s="1338"/>
      <c r="R587" s="1282">
        <f t="shared" si="113"/>
        <v>0</v>
      </c>
      <c r="S587" s="1338"/>
      <c r="T587" s="1283">
        <f t="shared" si="114"/>
        <v>0</v>
      </c>
      <c r="U587" s="1284">
        <f t="shared" si="115"/>
        <v>0</v>
      </c>
      <c r="V587" s="1285">
        <f t="shared" si="116"/>
        <v>0</v>
      </c>
    </row>
    <row r="588" spans="1:22" ht="14.25" outlineLevel="1">
      <c r="A588" s="1233"/>
      <c r="B588" s="1278" t="s">
        <v>1977</v>
      </c>
      <c r="C588" s="1278" t="s">
        <v>703</v>
      </c>
      <c r="D588" s="1286" t="s">
        <v>704</v>
      </c>
      <c r="E588" s="1323" t="s">
        <v>727</v>
      </c>
      <c r="F588" s="1281">
        <v>33142.9</v>
      </c>
      <c r="G588" s="1338"/>
      <c r="H588" s="1282">
        <f t="shared" si="108"/>
        <v>0</v>
      </c>
      <c r="I588" s="1338"/>
      <c r="J588" s="1282">
        <f t="shared" si="109"/>
        <v>0</v>
      </c>
      <c r="K588" s="1338"/>
      <c r="L588" s="1282">
        <f t="shared" si="110"/>
        <v>0</v>
      </c>
      <c r="M588" s="1338"/>
      <c r="N588" s="1282">
        <f t="shared" si="111"/>
        <v>0</v>
      </c>
      <c r="O588" s="1338"/>
      <c r="P588" s="1282">
        <f t="shared" si="112"/>
        <v>0</v>
      </c>
      <c r="Q588" s="1338"/>
      <c r="R588" s="1282">
        <f t="shared" si="113"/>
        <v>0</v>
      </c>
      <c r="S588" s="1338"/>
      <c r="T588" s="1283">
        <f t="shared" si="114"/>
        <v>0</v>
      </c>
      <c r="U588" s="1284">
        <f t="shared" si="115"/>
        <v>0</v>
      </c>
      <c r="V588" s="1285">
        <f t="shared" si="116"/>
        <v>0</v>
      </c>
    </row>
    <row r="589" spans="1:22" ht="14.25" outlineLevel="1">
      <c r="A589" s="1233"/>
      <c r="B589" s="1278" t="s">
        <v>1978</v>
      </c>
      <c r="C589" s="1278" t="s">
        <v>703</v>
      </c>
      <c r="D589" s="1286" t="s">
        <v>704</v>
      </c>
      <c r="E589" s="1323" t="s">
        <v>728</v>
      </c>
      <c r="F589" s="1281">
        <v>37835.699999999997</v>
      </c>
      <c r="G589" s="1338"/>
      <c r="H589" s="1282">
        <f t="shared" si="108"/>
        <v>0</v>
      </c>
      <c r="I589" s="1338"/>
      <c r="J589" s="1282">
        <f t="shared" si="109"/>
        <v>0</v>
      </c>
      <c r="K589" s="1338"/>
      <c r="L589" s="1282">
        <f t="shared" si="110"/>
        <v>0</v>
      </c>
      <c r="M589" s="1338"/>
      <c r="N589" s="1282">
        <f t="shared" si="111"/>
        <v>0</v>
      </c>
      <c r="O589" s="1338"/>
      <c r="P589" s="1282">
        <f t="shared" si="112"/>
        <v>0</v>
      </c>
      <c r="Q589" s="1338"/>
      <c r="R589" s="1282">
        <f t="shared" si="113"/>
        <v>0</v>
      </c>
      <c r="S589" s="1338"/>
      <c r="T589" s="1283">
        <f t="shared" si="114"/>
        <v>0</v>
      </c>
      <c r="U589" s="1284">
        <f t="shared" si="115"/>
        <v>0</v>
      </c>
      <c r="V589" s="1285">
        <f t="shared" si="116"/>
        <v>0</v>
      </c>
    </row>
    <row r="590" spans="1:22" ht="14.25" outlineLevel="1">
      <c r="A590" s="1233"/>
      <c r="B590" s="1278" t="s">
        <v>1979</v>
      </c>
      <c r="C590" s="1278" t="s">
        <v>703</v>
      </c>
      <c r="D590" s="1286" t="s">
        <v>704</v>
      </c>
      <c r="E590" s="1323" t="s">
        <v>729</v>
      </c>
      <c r="F590" s="1281">
        <v>42528.5</v>
      </c>
      <c r="G590" s="1338"/>
      <c r="H590" s="1282">
        <f t="shared" si="108"/>
        <v>0</v>
      </c>
      <c r="I590" s="1338"/>
      <c r="J590" s="1282">
        <f t="shared" si="109"/>
        <v>0</v>
      </c>
      <c r="K590" s="1338"/>
      <c r="L590" s="1282">
        <f t="shared" si="110"/>
        <v>0</v>
      </c>
      <c r="M590" s="1338"/>
      <c r="N590" s="1282">
        <f t="shared" si="111"/>
        <v>0</v>
      </c>
      <c r="O590" s="1338"/>
      <c r="P590" s="1282">
        <f t="shared" si="112"/>
        <v>0</v>
      </c>
      <c r="Q590" s="1338"/>
      <c r="R590" s="1282">
        <f t="shared" si="113"/>
        <v>0</v>
      </c>
      <c r="S590" s="1338"/>
      <c r="T590" s="1283">
        <f t="shared" si="114"/>
        <v>0</v>
      </c>
      <c r="U590" s="1284">
        <f t="shared" si="115"/>
        <v>0</v>
      </c>
      <c r="V590" s="1285">
        <f t="shared" si="116"/>
        <v>0</v>
      </c>
    </row>
    <row r="591" spans="1:22" ht="14.25" outlineLevel="1">
      <c r="A591" s="1233"/>
      <c r="B591" s="1278" t="s">
        <v>1980</v>
      </c>
      <c r="C591" s="1278" t="s">
        <v>703</v>
      </c>
      <c r="D591" s="1286" t="s">
        <v>704</v>
      </c>
      <c r="E591" s="1323" t="s">
        <v>730</v>
      </c>
      <c r="F591" s="1281">
        <v>47221.299999999996</v>
      </c>
      <c r="G591" s="1338"/>
      <c r="H591" s="1282">
        <f t="shared" si="108"/>
        <v>0</v>
      </c>
      <c r="I591" s="1338"/>
      <c r="J591" s="1282">
        <f t="shared" si="109"/>
        <v>0</v>
      </c>
      <c r="K591" s="1338"/>
      <c r="L591" s="1282">
        <f t="shared" si="110"/>
        <v>0</v>
      </c>
      <c r="M591" s="1338"/>
      <c r="N591" s="1282">
        <f t="shared" si="111"/>
        <v>0</v>
      </c>
      <c r="O591" s="1338"/>
      <c r="P591" s="1282">
        <f t="shared" si="112"/>
        <v>0</v>
      </c>
      <c r="Q591" s="1338"/>
      <c r="R591" s="1282">
        <f t="shared" si="113"/>
        <v>0</v>
      </c>
      <c r="S591" s="1338"/>
      <c r="T591" s="1283">
        <f t="shared" si="114"/>
        <v>0</v>
      </c>
      <c r="U591" s="1284">
        <f t="shared" si="115"/>
        <v>0</v>
      </c>
      <c r="V591" s="1285">
        <f t="shared" si="116"/>
        <v>0</v>
      </c>
    </row>
    <row r="592" spans="1:22" ht="14.25" outlineLevel="1">
      <c r="A592" s="1233"/>
      <c r="B592" s="1278" t="s">
        <v>1981</v>
      </c>
      <c r="C592" s="1278" t="s">
        <v>703</v>
      </c>
      <c r="D592" s="1286" t="s">
        <v>704</v>
      </c>
      <c r="E592" s="1323" t="s">
        <v>731</v>
      </c>
      <c r="F592" s="1281">
        <v>51914.1</v>
      </c>
      <c r="G592" s="1338"/>
      <c r="H592" s="1282">
        <f t="shared" si="108"/>
        <v>0</v>
      </c>
      <c r="I592" s="1338"/>
      <c r="J592" s="1282">
        <f t="shared" si="109"/>
        <v>0</v>
      </c>
      <c r="K592" s="1338"/>
      <c r="L592" s="1282">
        <f t="shared" si="110"/>
        <v>0</v>
      </c>
      <c r="M592" s="1338"/>
      <c r="N592" s="1282">
        <f t="shared" si="111"/>
        <v>0</v>
      </c>
      <c r="O592" s="1338"/>
      <c r="P592" s="1282">
        <f t="shared" si="112"/>
        <v>0</v>
      </c>
      <c r="Q592" s="1338"/>
      <c r="R592" s="1282">
        <f t="shared" si="113"/>
        <v>0</v>
      </c>
      <c r="S592" s="1338"/>
      <c r="T592" s="1283">
        <f t="shared" si="114"/>
        <v>0</v>
      </c>
      <c r="U592" s="1284">
        <f t="shared" si="115"/>
        <v>0</v>
      </c>
      <c r="V592" s="1285">
        <f t="shared" si="116"/>
        <v>0</v>
      </c>
    </row>
    <row r="593" spans="1:22" ht="13.5" customHeight="1">
      <c r="B593" s="1254" t="s">
        <v>2019</v>
      </c>
      <c r="C593" s="1254" t="s">
        <v>732</v>
      </c>
      <c r="D593" s="1270"/>
      <c r="E593" s="1304"/>
      <c r="F593" s="1305"/>
      <c r="G593" s="1339"/>
      <c r="H593" s="1296"/>
      <c r="I593" s="1339"/>
      <c r="J593" s="1296"/>
      <c r="K593" s="1339"/>
      <c r="L593" s="1296"/>
      <c r="M593" s="1339"/>
      <c r="N593" s="1296"/>
      <c r="O593" s="1339"/>
      <c r="P593" s="1296"/>
      <c r="Q593" s="1339"/>
      <c r="R593" s="1296"/>
      <c r="S593" s="1339"/>
      <c r="T593" s="1296"/>
      <c r="U593" s="1297"/>
      <c r="V593" s="1298"/>
    </row>
    <row r="594" spans="1:22" ht="14.25" outlineLevel="1">
      <c r="A594" s="1233"/>
      <c r="B594" s="1278" t="s">
        <v>1982</v>
      </c>
      <c r="C594" s="1278" t="s">
        <v>732</v>
      </c>
      <c r="D594" s="1286" t="s">
        <v>733</v>
      </c>
      <c r="E594" s="1307" t="s">
        <v>734</v>
      </c>
      <c r="F594" s="1281">
        <v>1065</v>
      </c>
      <c r="G594" s="1338"/>
      <c r="H594" s="1282">
        <f t="shared" ref="H594:H614" si="117">F594*G594</f>
        <v>0</v>
      </c>
      <c r="I594" s="1338"/>
      <c r="J594" s="1282">
        <f t="shared" ref="J594:J614" si="118">F594*I594</f>
        <v>0</v>
      </c>
      <c r="K594" s="1338"/>
      <c r="L594" s="1282">
        <f t="shared" ref="L594:L614" si="119">F594*K594</f>
        <v>0</v>
      </c>
      <c r="M594" s="1338"/>
      <c r="N594" s="1282">
        <f t="shared" ref="N594:N614" si="120">F594*M594</f>
        <v>0</v>
      </c>
      <c r="O594" s="1338"/>
      <c r="P594" s="1282">
        <f t="shared" ref="P594:P614" si="121">F594*O594</f>
        <v>0</v>
      </c>
      <c r="Q594" s="1338"/>
      <c r="R594" s="1282">
        <f t="shared" ref="R594:R614" si="122">F594*Q594</f>
        <v>0</v>
      </c>
      <c r="S594" s="1338"/>
      <c r="T594" s="1283">
        <f t="shared" ref="T594:T614" si="123">F594*S594</f>
        <v>0</v>
      </c>
      <c r="U594" s="1284">
        <f t="shared" ref="U594:U614" si="124">G594+I594+K594+M594+O594+Q594+S594</f>
        <v>0</v>
      </c>
      <c r="V594" s="1285">
        <f t="shared" ref="V594:V614" si="125">U594*F594</f>
        <v>0</v>
      </c>
    </row>
    <row r="595" spans="1:22" ht="14.25" outlineLevel="1">
      <c r="A595" s="1233"/>
      <c r="B595" s="1278" t="s">
        <v>1983</v>
      </c>
      <c r="C595" s="1278" t="s">
        <v>732</v>
      </c>
      <c r="D595" s="1286" t="s">
        <v>733</v>
      </c>
      <c r="E595" s="1307" t="s">
        <v>735</v>
      </c>
      <c r="F595" s="1281">
        <v>2130</v>
      </c>
      <c r="G595" s="1338"/>
      <c r="H595" s="1282">
        <f t="shared" si="117"/>
        <v>0</v>
      </c>
      <c r="I595" s="1338"/>
      <c r="J595" s="1282">
        <f t="shared" si="118"/>
        <v>0</v>
      </c>
      <c r="K595" s="1338"/>
      <c r="L595" s="1282">
        <f t="shared" si="119"/>
        <v>0</v>
      </c>
      <c r="M595" s="1338"/>
      <c r="N595" s="1282">
        <f t="shared" si="120"/>
        <v>0</v>
      </c>
      <c r="O595" s="1338"/>
      <c r="P595" s="1282">
        <f t="shared" si="121"/>
        <v>0</v>
      </c>
      <c r="Q595" s="1338"/>
      <c r="R595" s="1282">
        <f t="shared" si="122"/>
        <v>0</v>
      </c>
      <c r="S595" s="1338"/>
      <c r="T595" s="1283">
        <f t="shared" si="123"/>
        <v>0</v>
      </c>
      <c r="U595" s="1284">
        <f t="shared" si="124"/>
        <v>0</v>
      </c>
      <c r="V595" s="1285">
        <f t="shared" si="125"/>
        <v>0</v>
      </c>
    </row>
    <row r="596" spans="1:22" ht="14.25" outlineLevel="1">
      <c r="A596" s="1233"/>
      <c r="B596" s="1278" t="s">
        <v>1984</v>
      </c>
      <c r="C596" s="1278" t="s">
        <v>732</v>
      </c>
      <c r="D596" s="1286" t="s">
        <v>733</v>
      </c>
      <c r="E596" s="1307" t="s">
        <v>736</v>
      </c>
      <c r="F596" s="1281">
        <v>3550</v>
      </c>
      <c r="G596" s="1338"/>
      <c r="H596" s="1282">
        <f t="shared" si="117"/>
        <v>0</v>
      </c>
      <c r="I596" s="1338"/>
      <c r="J596" s="1282">
        <f t="shared" si="118"/>
        <v>0</v>
      </c>
      <c r="K596" s="1338"/>
      <c r="L596" s="1282">
        <f t="shared" si="119"/>
        <v>0</v>
      </c>
      <c r="M596" s="1338"/>
      <c r="N596" s="1282">
        <f t="shared" si="120"/>
        <v>0</v>
      </c>
      <c r="O596" s="1338"/>
      <c r="P596" s="1282">
        <f t="shared" si="121"/>
        <v>0</v>
      </c>
      <c r="Q596" s="1338"/>
      <c r="R596" s="1282">
        <f t="shared" si="122"/>
        <v>0</v>
      </c>
      <c r="S596" s="1338"/>
      <c r="T596" s="1283">
        <f t="shared" si="123"/>
        <v>0</v>
      </c>
      <c r="U596" s="1284">
        <f t="shared" si="124"/>
        <v>0</v>
      </c>
      <c r="V596" s="1285">
        <f t="shared" si="125"/>
        <v>0</v>
      </c>
    </row>
    <row r="597" spans="1:22" ht="14.25" outlineLevel="1">
      <c r="A597" s="1233"/>
      <c r="B597" s="1278" t="s">
        <v>1985</v>
      </c>
      <c r="C597" s="1278" t="s">
        <v>732</v>
      </c>
      <c r="D597" s="1286" t="s">
        <v>733</v>
      </c>
      <c r="E597" s="1307" t="s">
        <v>737</v>
      </c>
      <c r="F597" s="1281">
        <v>4970</v>
      </c>
      <c r="G597" s="1338"/>
      <c r="H597" s="1282">
        <f t="shared" si="117"/>
        <v>0</v>
      </c>
      <c r="I597" s="1338"/>
      <c r="J597" s="1282">
        <f t="shared" si="118"/>
        <v>0</v>
      </c>
      <c r="K597" s="1338"/>
      <c r="L597" s="1282">
        <f t="shared" si="119"/>
        <v>0</v>
      </c>
      <c r="M597" s="1338"/>
      <c r="N597" s="1282">
        <f t="shared" si="120"/>
        <v>0</v>
      </c>
      <c r="O597" s="1338"/>
      <c r="P597" s="1282">
        <f t="shared" si="121"/>
        <v>0</v>
      </c>
      <c r="Q597" s="1338"/>
      <c r="R597" s="1282">
        <f t="shared" si="122"/>
        <v>0</v>
      </c>
      <c r="S597" s="1338"/>
      <c r="T597" s="1283">
        <f t="shared" si="123"/>
        <v>0</v>
      </c>
      <c r="U597" s="1284">
        <f t="shared" si="124"/>
        <v>0</v>
      </c>
      <c r="V597" s="1285">
        <f t="shared" si="125"/>
        <v>0</v>
      </c>
    </row>
    <row r="598" spans="1:22" ht="14.25" outlineLevel="1">
      <c r="A598" s="1233"/>
      <c r="B598" s="1278" t="s">
        <v>1986</v>
      </c>
      <c r="C598" s="1278" t="s">
        <v>732</v>
      </c>
      <c r="D598" s="1286" t="s">
        <v>733</v>
      </c>
      <c r="E598" s="1307" t="s">
        <v>738</v>
      </c>
      <c r="F598" s="1281">
        <v>6390</v>
      </c>
      <c r="G598" s="1338"/>
      <c r="H598" s="1282">
        <f t="shared" si="117"/>
        <v>0</v>
      </c>
      <c r="I598" s="1338"/>
      <c r="J598" s="1282">
        <f t="shared" si="118"/>
        <v>0</v>
      </c>
      <c r="K598" s="1338"/>
      <c r="L598" s="1282">
        <f t="shared" si="119"/>
        <v>0</v>
      </c>
      <c r="M598" s="1338"/>
      <c r="N598" s="1282">
        <f t="shared" si="120"/>
        <v>0</v>
      </c>
      <c r="O598" s="1338"/>
      <c r="P598" s="1282">
        <f t="shared" si="121"/>
        <v>0</v>
      </c>
      <c r="Q598" s="1338"/>
      <c r="R598" s="1282">
        <f t="shared" si="122"/>
        <v>0</v>
      </c>
      <c r="S598" s="1338"/>
      <c r="T598" s="1283">
        <f t="shared" si="123"/>
        <v>0</v>
      </c>
      <c r="U598" s="1284">
        <f t="shared" si="124"/>
        <v>0</v>
      </c>
      <c r="V598" s="1285">
        <f t="shared" si="125"/>
        <v>0</v>
      </c>
    </row>
    <row r="599" spans="1:22" ht="14.25" outlineLevel="1">
      <c r="A599" s="1233"/>
      <c r="B599" s="1278" t="s">
        <v>1987</v>
      </c>
      <c r="C599" s="1278" t="s">
        <v>732</v>
      </c>
      <c r="D599" s="1286" t="s">
        <v>733</v>
      </c>
      <c r="E599" s="1307" t="s">
        <v>739</v>
      </c>
      <c r="F599" s="1281">
        <v>7810</v>
      </c>
      <c r="G599" s="1338"/>
      <c r="H599" s="1282">
        <f t="shared" si="117"/>
        <v>0</v>
      </c>
      <c r="I599" s="1338"/>
      <c r="J599" s="1282">
        <f t="shared" si="118"/>
        <v>0</v>
      </c>
      <c r="K599" s="1338"/>
      <c r="L599" s="1282">
        <f t="shared" si="119"/>
        <v>0</v>
      </c>
      <c r="M599" s="1338"/>
      <c r="N599" s="1282">
        <f t="shared" si="120"/>
        <v>0</v>
      </c>
      <c r="O599" s="1338"/>
      <c r="P599" s="1282">
        <f t="shared" si="121"/>
        <v>0</v>
      </c>
      <c r="Q599" s="1338"/>
      <c r="R599" s="1282">
        <f t="shared" si="122"/>
        <v>0</v>
      </c>
      <c r="S599" s="1338"/>
      <c r="T599" s="1283">
        <f t="shared" si="123"/>
        <v>0</v>
      </c>
      <c r="U599" s="1284">
        <f t="shared" si="124"/>
        <v>0</v>
      </c>
      <c r="V599" s="1285">
        <f t="shared" si="125"/>
        <v>0</v>
      </c>
    </row>
    <row r="600" spans="1:22" ht="14.25" outlineLevel="1">
      <c r="A600" s="1233"/>
      <c r="B600" s="1278" t="s">
        <v>1988</v>
      </c>
      <c r="C600" s="1278" t="s">
        <v>732</v>
      </c>
      <c r="D600" s="1286" t="s">
        <v>733</v>
      </c>
      <c r="E600" s="1307" t="s">
        <v>740</v>
      </c>
      <c r="F600" s="1281">
        <v>9230</v>
      </c>
      <c r="G600" s="1338"/>
      <c r="H600" s="1282">
        <f t="shared" si="117"/>
        <v>0</v>
      </c>
      <c r="I600" s="1338"/>
      <c r="J600" s="1282">
        <f t="shared" si="118"/>
        <v>0</v>
      </c>
      <c r="K600" s="1338"/>
      <c r="L600" s="1282">
        <f t="shared" si="119"/>
        <v>0</v>
      </c>
      <c r="M600" s="1338"/>
      <c r="N600" s="1282">
        <f t="shared" si="120"/>
        <v>0</v>
      </c>
      <c r="O600" s="1338"/>
      <c r="P600" s="1282">
        <f t="shared" si="121"/>
        <v>0</v>
      </c>
      <c r="Q600" s="1338"/>
      <c r="R600" s="1282">
        <f t="shared" si="122"/>
        <v>0</v>
      </c>
      <c r="S600" s="1338"/>
      <c r="T600" s="1283">
        <f t="shared" si="123"/>
        <v>0</v>
      </c>
      <c r="U600" s="1284">
        <f t="shared" si="124"/>
        <v>0</v>
      </c>
      <c r="V600" s="1285">
        <f t="shared" si="125"/>
        <v>0</v>
      </c>
    </row>
    <row r="601" spans="1:22" ht="14.25" outlineLevel="1">
      <c r="A601" s="1233"/>
      <c r="B601" s="1278" t="s">
        <v>1989</v>
      </c>
      <c r="C601" s="1278" t="s">
        <v>732</v>
      </c>
      <c r="D601" s="1286" t="s">
        <v>733</v>
      </c>
      <c r="E601" s="1307" t="s">
        <v>741</v>
      </c>
      <c r="F601" s="1281">
        <v>10650</v>
      </c>
      <c r="G601" s="1338"/>
      <c r="H601" s="1282">
        <f t="shared" si="117"/>
        <v>0</v>
      </c>
      <c r="I601" s="1338"/>
      <c r="J601" s="1282">
        <f t="shared" si="118"/>
        <v>0</v>
      </c>
      <c r="K601" s="1338"/>
      <c r="L601" s="1282">
        <f t="shared" si="119"/>
        <v>0</v>
      </c>
      <c r="M601" s="1338"/>
      <c r="N601" s="1282">
        <f t="shared" si="120"/>
        <v>0</v>
      </c>
      <c r="O601" s="1338"/>
      <c r="P601" s="1282">
        <f t="shared" si="121"/>
        <v>0</v>
      </c>
      <c r="Q601" s="1338"/>
      <c r="R601" s="1282">
        <f t="shared" si="122"/>
        <v>0</v>
      </c>
      <c r="S601" s="1338"/>
      <c r="T601" s="1283">
        <f t="shared" si="123"/>
        <v>0</v>
      </c>
      <c r="U601" s="1284">
        <f t="shared" si="124"/>
        <v>0</v>
      </c>
      <c r="V601" s="1285">
        <f t="shared" si="125"/>
        <v>0</v>
      </c>
    </row>
    <row r="602" spans="1:22" ht="14.25" outlineLevel="1">
      <c r="A602" s="1233"/>
      <c r="B602" s="1278" t="s">
        <v>1990</v>
      </c>
      <c r="C602" s="1278" t="s">
        <v>732</v>
      </c>
      <c r="D602" s="1286" t="s">
        <v>733</v>
      </c>
      <c r="E602" s="1307" t="s">
        <v>742</v>
      </c>
      <c r="F602" s="1281">
        <v>12070</v>
      </c>
      <c r="G602" s="1338"/>
      <c r="H602" s="1282">
        <f t="shared" si="117"/>
        <v>0</v>
      </c>
      <c r="I602" s="1338"/>
      <c r="J602" s="1282">
        <f t="shared" si="118"/>
        <v>0</v>
      </c>
      <c r="K602" s="1338"/>
      <c r="L602" s="1282">
        <f t="shared" si="119"/>
        <v>0</v>
      </c>
      <c r="M602" s="1338"/>
      <c r="N602" s="1282">
        <f t="shared" si="120"/>
        <v>0</v>
      </c>
      <c r="O602" s="1338"/>
      <c r="P602" s="1282">
        <f t="shared" si="121"/>
        <v>0</v>
      </c>
      <c r="Q602" s="1338"/>
      <c r="R602" s="1282">
        <f t="shared" si="122"/>
        <v>0</v>
      </c>
      <c r="S602" s="1338"/>
      <c r="T602" s="1283">
        <f t="shared" si="123"/>
        <v>0</v>
      </c>
      <c r="U602" s="1284">
        <f t="shared" si="124"/>
        <v>0</v>
      </c>
      <c r="V602" s="1285">
        <f t="shared" si="125"/>
        <v>0</v>
      </c>
    </row>
    <row r="603" spans="1:22" ht="14.25" outlineLevel="1">
      <c r="A603" s="1233"/>
      <c r="B603" s="1278" t="s">
        <v>1991</v>
      </c>
      <c r="C603" s="1278" t="s">
        <v>732</v>
      </c>
      <c r="D603" s="1286" t="s">
        <v>733</v>
      </c>
      <c r="E603" s="1307" t="s">
        <v>743</v>
      </c>
      <c r="F603" s="1281">
        <v>13490</v>
      </c>
      <c r="G603" s="1338"/>
      <c r="H603" s="1282">
        <f t="shared" si="117"/>
        <v>0</v>
      </c>
      <c r="I603" s="1338"/>
      <c r="J603" s="1282">
        <f t="shared" si="118"/>
        <v>0</v>
      </c>
      <c r="K603" s="1338"/>
      <c r="L603" s="1282">
        <f t="shared" si="119"/>
        <v>0</v>
      </c>
      <c r="M603" s="1338"/>
      <c r="N603" s="1282">
        <f t="shared" si="120"/>
        <v>0</v>
      </c>
      <c r="O603" s="1338"/>
      <c r="P603" s="1282">
        <f t="shared" si="121"/>
        <v>0</v>
      </c>
      <c r="Q603" s="1338"/>
      <c r="R603" s="1282">
        <f t="shared" si="122"/>
        <v>0</v>
      </c>
      <c r="S603" s="1338"/>
      <c r="T603" s="1283">
        <f t="shared" si="123"/>
        <v>0</v>
      </c>
      <c r="U603" s="1284">
        <f t="shared" si="124"/>
        <v>0</v>
      </c>
      <c r="V603" s="1285">
        <f t="shared" si="125"/>
        <v>0</v>
      </c>
    </row>
    <row r="604" spans="1:22" ht="14.25" outlineLevel="1">
      <c r="A604" s="1233"/>
      <c r="B604" s="1278" t="s">
        <v>1992</v>
      </c>
      <c r="C604" s="1278" t="s">
        <v>732</v>
      </c>
      <c r="D604" s="1286" t="s">
        <v>733</v>
      </c>
      <c r="E604" s="1307" t="s">
        <v>744</v>
      </c>
      <c r="F604" s="1281">
        <v>14910</v>
      </c>
      <c r="G604" s="1338"/>
      <c r="H604" s="1282">
        <f t="shared" si="117"/>
        <v>0</v>
      </c>
      <c r="I604" s="1338"/>
      <c r="J604" s="1282">
        <f t="shared" si="118"/>
        <v>0</v>
      </c>
      <c r="K604" s="1338"/>
      <c r="L604" s="1282">
        <f t="shared" si="119"/>
        <v>0</v>
      </c>
      <c r="M604" s="1338"/>
      <c r="N604" s="1282">
        <f t="shared" si="120"/>
        <v>0</v>
      </c>
      <c r="O604" s="1338"/>
      <c r="P604" s="1282">
        <f t="shared" si="121"/>
        <v>0</v>
      </c>
      <c r="Q604" s="1338"/>
      <c r="R604" s="1282">
        <f t="shared" si="122"/>
        <v>0</v>
      </c>
      <c r="S604" s="1338"/>
      <c r="T604" s="1283">
        <f t="shared" si="123"/>
        <v>0</v>
      </c>
      <c r="U604" s="1284">
        <f t="shared" si="124"/>
        <v>0</v>
      </c>
      <c r="V604" s="1285">
        <f t="shared" si="125"/>
        <v>0</v>
      </c>
    </row>
    <row r="605" spans="1:22" ht="14.25" outlineLevel="1">
      <c r="A605" s="1233"/>
      <c r="B605" s="1278" t="s">
        <v>1993</v>
      </c>
      <c r="C605" s="1278" t="s">
        <v>732</v>
      </c>
      <c r="D605" s="1286" t="s">
        <v>733</v>
      </c>
      <c r="E605" s="1307" t="s">
        <v>745</v>
      </c>
      <c r="F605" s="1281">
        <v>16330</v>
      </c>
      <c r="G605" s="1338"/>
      <c r="H605" s="1282">
        <f t="shared" si="117"/>
        <v>0</v>
      </c>
      <c r="I605" s="1338"/>
      <c r="J605" s="1282">
        <f t="shared" si="118"/>
        <v>0</v>
      </c>
      <c r="K605" s="1338"/>
      <c r="L605" s="1282">
        <f t="shared" si="119"/>
        <v>0</v>
      </c>
      <c r="M605" s="1338"/>
      <c r="N605" s="1282">
        <f t="shared" si="120"/>
        <v>0</v>
      </c>
      <c r="O605" s="1338"/>
      <c r="P605" s="1282">
        <f t="shared" si="121"/>
        <v>0</v>
      </c>
      <c r="Q605" s="1338"/>
      <c r="R605" s="1282">
        <f t="shared" si="122"/>
        <v>0</v>
      </c>
      <c r="S605" s="1338"/>
      <c r="T605" s="1283">
        <f t="shared" si="123"/>
        <v>0</v>
      </c>
      <c r="U605" s="1284">
        <f t="shared" si="124"/>
        <v>0</v>
      </c>
      <c r="V605" s="1285">
        <f t="shared" si="125"/>
        <v>0</v>
      </c>
    </row>
    <row r="606" spans="1:22" ht="14.25" outlineLevel="1">
      <c r="A606" s="1233"/>
      <c r="B606" s="1278" t="s">
        <v>1994</v>
      </c>
      <c r="C606" s="1278" t="s">
        <v>732</v>
      </c>
      <c r="D606" s="1286" t="s">
        <v>733</v>
      </c>
      <c r="E606" s="1307" t="s">
        <v>746</v>
      </c>
      <c r="F606" s="1281">
        <v>18460</v>
      </c>
      <c r="G606" s="1338"/>
      <c r="H606" s="1282">
        <f t="shared" si="117"/>
        <v>0</v>
      </c>
      <c r="I606" s="1338"/>
      <c r="J606" s="1282">
        <f t="shared" si="118"/>
        <v>0</v>
      </c>
      <c r="K606" s="1338"/>
      <c r="L606" s="1282">
        <f t="shared" si="119"/>
        <v>0</v>
      </c>
      <c r="M606" s="1338"/>
      <c r="N606" s="1282">
        <f t="shared" si="120"/>
        <v>0</v>
      </c>
      <c r="O606" s="1338"/>
      <c r="P606" s="1282">
        <f t="shared" si="121"/>
        <v>0</v>
      </c>
      <c r="Q606" s="1338"/>
      <c r="R606" s="1282">
        <f t="shared" si="122"/>
        <v>0</v>
      </c>
      <c r="S606" s="1338"/>
      <c r="T606" s="1283">
        <f t="shared" si="123"/>
        <v>0</v>
      </c>
      <c r="U606" s="1284">
        <f t="shared" si="124"/>
        <v>0</v>
      </c>
      <c r="V606" s="1285">
        <f t="shared" si="125"/>
        <v>0</v>
      </c>
    </row>
    <row r="607" spans="1:22" ht="14.25" outlineLevel="1">
      <c r="A607" s="1233"/>
      <c r="B607" s="1278" t="s">
        <v>1995</v>
      </c>
      <c r="C607" s="1278" t="s">
        <v>732</v>
      </c>
      <c r="D607" s="1286" t="s">
        <v>733</v>
      </c>
      <c r="E607" s="1307" t="s">
        <v>747</v>
      </c>
      <c r="F607" s="1281">
        <v>21300</v>
      </c>
      <c r="G607" s="1338"/>
      <c r="H607" s="1282">
        <f t="shared" si="117"/>
        <v>0</v>
      </c>
      <c r="I607" s="1338"/>
      <c r="J607" s="1282">
        <f t="shared" si="118"/>
        <v>0</v>
      </c>
      <c r="K607" s="1338"/>
      <c r="L607" s="1282">
        <f t="shared" si="119"/>
        <v>0</v>
      </c>
      <c r="M607" s="1338"/>
      <c r="N607" s="1282">
        <f t="shared" si="120"/>
        <v>0</v>
      </c>
      <c r="O607" s="1338"/>
      <c r="P607" s="1282">
        <f t="shared" si="121"/>
        <v>0</v>
      </c>
      <c r="Q607" s="1338"/>
      <c r="R607" s="1282">
        <f t="shared" si="122"/>
        <v>0</v>
      </c>
      <c r="S607" s="1338"/>
      <c r="T607" s="1283">
        <f t="shared" si="123"/>
        <v>0</v>
      </c>
      <c r="U607" s="1284">
        <f t="shared" si="124"/>
        <v>0</v>
      </c>
      <c r="V607" s="1285">
        <f t="shared" si="125"/>
        <v>0</v>
      </c>
    </row>
    <row r="608" spans="1:22" ht="14.25" outlineLevel="1">
      <c r="A608" s="1233"/>
      <c r="B608" s="1278" t="s">
        <v>1996</v>
      </c>
      <c r="C608" s="1278" t="s">
        <v>732</v>
      </c>
      <c r="D608" s="1286" t="s">
        <v>733</v>
      </c>
      <c r="E608" s="1307" t="s">
        <v>748</v>
      </c>
      <c r="F608" s="1281">
        <v>24140</v>
      </c>
      <c r="G608" s="1338"/>
      <c r="H608" s="1282">
        <f t="shared" si="117"/>
        <v>0</v>
      </c>
      <c r="I608" s="1338"/>
      <c r="J608" s="1282">
        <f t="shared" si="118"/>
        <v>0</v>
      </c>
      <c r="K608" s="1338"/>
      <c r="L608" s="1282">
        <f t="shared" si="119"/>
        <v>0</v>
      </c>
      <c r="M608" s="1338"/>
      <c r="N608" s="1282">
        <f t="shared" si="120"/>
        <v>0</v>
      </c>
      <c r="O608" s="1338"/>
      <c r="P608" s="1282">
        <f t="shared" si="121"/>
        <v>0</v>
      </c>
      <c r="Q608" s="1338"/>
      <c r="R608" s="1282">
        <f t="shared" si="122"/>
        <v>0</v>
      </c>
      <c r="S608" s="1338"/>
      <c r="T608" s="1283">
        <f t="shared" si="123"/>
        <v>0</v>
      </c>
      <c r="U608" s="1284">
        <f t="shared" si="124"/>
        <v>0</v>
      </c>
      <c r="V608" s="1285">
        <f t="shared" si="125"/>
        <v>0</v>
      </c>
    </row>
    <row r="609" spans="1:22" ht="14.25" outlineLevel="1">
      <c r="A609" s="1233"/>
      <c r="B609" s="1278" t="s">
        <v>1997</v>
      </c>
      <c r="C609" s="1278" t="s">
        <v>732</v>
      </c>
      <c r="D609" s="1286" t="s">
        <v>733</v>
      </c>
      <c r="E609" s="1307" t="s">
        <v>749</v>
      </c>
      <c r="F609" s="1281">
        <v>26980</v>
      </c>
      <c r="G609" s="1338"/>
      <c r="H609" s="1282">
        <f t="shared" si="117"/>
        <v>0</v>
      </c>
      <c r="I609" s="1338"/>
      <c r="J609" s="1282">
        <f t="shared" si="118"/>
        <v>0</v>
      </c>
      <c r="K609" s="1338"/>
      <c r="L609" s="1282">
        <f t="shared" si="119"/>
        <v>0</v>
      </c>
      <c r="M609" s="1338"/>
      <c r="N609" s="1282">
        <f t="shared" si="120"/>
        <v>0</v>
      </c>
      <c r="O609" s="1338"/>
      <c r="P609" s="1282">
        <f t="shared" si="121"/>
        <v>0</v>
      </c>
      <c r="Q609" s="1338"/>
      <c r="R609" s="1282">
        <f t="shared" si="122"/>
        <v>0</v>
      </c>
      <c r="S609" s="1338"/>
      <c r="T609" s="1283">
        <f t="shared" si="123"/>
        <v>0</v>
      </c>
      <c r="U609" s="1284">
        <f t="shared" si="124"/>
        <v>0</v>
      </c>
      <c r="V609" s="1285">
        <f t="shared" si="125"/>
        <v>0</v>
      </c>
    </row>
    <row r="610" spans="1:22" ht="14.25" outlineLevel="1">
      <c r="A610" s="1233"/>
      <c r="B610" s="1278" t="s">
        <v>1998</v>
      </c>
      <c r="C610" s="1278" t="s">
        <v>732</v>
      </c>
      <c r="D610" s="1286" t="s">
        <v>733</v>
      </c>
      <c r="E610" s="1307" t="s">
        <v>750</v>
      </c>
      <c r="F610" s="1281">
        <v>30530</v>
      </c>
      <c r="G610" s="1338"/>
      <c r="H610" s="1282">
        <f t="shared" si="117"/>
        <v>0</v>
      </c>
      <c r="I610" s="1338"/>
      <c r="J610" s="1282">
        <f t="shared" si="118"/>
        <v>0</v>
      </c>
      <c r="K610" s="1338"/>
      <c r="L610" s="1282">
        <f t="shared" si="119"/>
        <v>0</v>
      </c>
      <c r="M610" s="1338"/>
      <c r="N610" s="1282">
        <f t="shared" si="120"/>
        <v>0</v>
      </c>
      <c r="O610" s="1338"/>
      <c r="P610" s="1282">
        <f t="shared" si="121"/>
        <v>0</v>
      </c>
      <c r="Q610" s="1338"/>
      <c r="R610" s="1282">
        <f t="shared" si="122"/>
        <v>0</v>
      </c>
      <c r="S610" s="1338"/>
      <c r="T610" s="1283">
        <f t="shared" si="123"/>
        <v>0</v>
      </c>
      <c r="U610" s="1284">
        <f t="shared" si="124"/>
        <v>0</v>
      </c>
      <c r="V610" s="1285">
        <f t="shared" si="125"/>
        <v>0</v>
      </c>
    </row>
    <row r="611" spans="1:22" ht="14.25" outlineLevel="1">
      <c r="A611" s="1233"/>
      <c r="B611" s="1278" t="s">
        <v>1999</v>
      </c>
      <c r="C611" s="1278" t="s">
        <v>732</v>
      </c>
      <c r="D611" s="1286" t="s">
        <v>733</v>
      </c>
      <c r="E611" s="1307" t="s">
        <v>751</v>
      </c>
      <c r="F611" s="1281">
        <v>34790</v>
      </c>
      <c r="G611" s="1338"/>
      <c r="H611" s="1282">
        <f t="shared" si="117"/>
        <v>0</v>
      </c>
      <c r="I611" s="1338"/>
      <c r="J611" s="1282">
        <f t="shared" si="118"/>
        <v>0</v>
      </c>
      <c r="K611" s="1338"/>
      <c r="L611" s="1282">
        <f t="shared" si="119"/>
        <v>0</v>
      </c>
      <c r="M611" s="1338"/>
      <c r="N611" s="1282">
        <f t="shared" si="120"/>
        <v>0</v>
      </c>
      <c r="O611" s="1338"/>
      <c r="P611" s="1282">
        <f t="shared" si="121"/>
        <v>0</v>
      </c>
      <c r="Q611" s="1338"/>
      <c r="R611" s="1282">
        <f t="shared" si="122"/>
        <v>0</v>
      </c>
      <c r="S611" s="1338"/>
      <c r="T611" s="1283">
        <f t="shared" si="123"/>
        <v>0</v>
      </c>
      <c r="U611" s="1284">
        <f t="shared" si="124"/>
        <v>0</v>
      </c>
      <c r="V611" s="1285">
        <f t="shared" si="125"/>
        <v>0</v>
      </c>
    </row>
    <row r="612" spans="1:22" ht="14.25" outlineLevel="1">
      <c r="A612" s="1233"/>
      <c r="B612" s="1278" t="s">
        <v>2000</v>
      </c>
      <c r="C612" s="1278" t="s">
        <v>732</v>
      </c>
      <c r="D612" s="1286" t="s">
        <v>733</v>
      </c>
      <c r="E612" s="1307" t="s">
        <v>752</v>
      </c>
      <c r="F612" s="1281">
        <v>39050</v>
      </c>
      <c r="G612" s="1338"/>
      <c r="H612" s="1282">
        <f t="shared" si="117"/>
        <v>0</v>
      </c>
      <c r="I612" s="1338"/>
      <c r="J612" s="1282">
        <f t="shared" si="118"/>
        <v>0</v>
      </c>
      <c r="K612" s="1338"/>
      <c r="L612" s="1282">
        <f t="shared" si="119"/>
        <v>0</v>
      </c>
      <c r="M612" s="1338"/>
      <c r="N612" s="1282">
        <f t="shared" si="120"/>
        <v>0</v>
      </c>
      <c r="O612" s="1338"/>
      <c r="P612" s="1282">
        <f t="shared" si="121"/>
        <v>0</v>
      </c>
      <c r="Q612" s="1338"/>
      <c r="R612" s="1282">
        <f t="shared" si="122"/>
        <v>0</v>
      </c>
      <c r="S612" s="1338"/>
      <c r="T612" s="1283">
        <f t="shared" si="123"/>
        <v>0</v>
      </c>
      <c r="U612" s="1284">
        <f t="shared" si="124"/>
        <v>0</v>
      </c>
      <c r="V612" s="1285">
        <f t="shared" si="125"/>
        <v>0</v>
      </c>
    </row>
    <row r="613" spans="1:22" ht="14.25" outlineLevel="1">
      <c r="A613" s="1233"/>
      <c r="B613" s="1278" t="s">
        <v>2001</v>
      </c>
      <c r="C613" s="1278" t="s">
        <v>732</v>
      </c>
      <c r="D613" s="1286" t="s">
        <v>733</v>
      </c>
      <c r="E613" s="1307" t="s">
        <v>753</v>
      </c>
      <c r="F613" s="1281">
        <v>43310</v>
      </c>
      <c r="G613" s="1338"/>
      <c r="H613" s="1282">
        <f t="shared" si="117"/>
        <v>0</v>
      </c>
      <c r="I613" s="1338"/>
      <c r="J613" s="1282">
        <f t="shared" si="118"/>
        <v>0</v>
      </c>
      <c r="K613" s="1338"/>
      <c r="L613" s="1282">
        <f t="shared" si="119"/>
        <v>0</v>
      </c>
      <c r="M613" s="1338"/>
      <c r="N613" s="1282">
        <f t="shared" si="120"/>
        <v>0</v>
      </c>
      <c r="O613" s="1338"/>
      <c r="P613" s="1282">
        <f t="shared" si="121"/>
        <v>0</v>
      </c>
      <c r="Q613" s="1338"/>
      <c r="R613" s="1282">
        <f t="shared" si="122"/>
        <v>0</v>
      </c>
      <c r="S613" s="1338"/>
      <c r="T613" s="1283">
        <f t="shared" si="123"/>
        <v>0</v>
      </c>
      <c r="U613" s="1284">
        <f t="shared" si="124"/>
        <v>0</v>
      </c>
      <c r="V613" s="1285">
        <f t="shared" si="125"/>
        <v>0</v>
      </c>
    </row>
    <row r="614" spans="1:22" ht="14.25" outlineLevel="1">
      <c r="A614" s="1233"/>
      <c r="B614" s="1278" t="s">
        <v>2002</v>
      </c>
      <c r="C614" s="1278" t="s">
        <v>732</v>
      </c>
      <c r="D614" s="1286" t="s">
        <v>733</v>
      </c>
      <c r="E614" s="1307" t="s">
        <v>754</v>
      </c>
      <c r="F614" s="1281">
        <v>47570</v>
      </c>
      <c r="G614" s="1338"/>
      <c r="H614" s="1282">
        <f t="shared" si="117"/>
        <v>0</v>
      </c>
      <c r="I614" s="1338"/>
      <c r="J614" s="1282">
        <f t="shared" si="118"/>
        <v>0</v>
      </c>
      <c r="K614" s="1338"/>
      <c r="L614" s="1282">
        <f t="shared" si="119"/>
        <v>0</v>
      </c>
      <c r="M614" s="1338"/>
      <c r="N614" s="1282">
        <f t="shared" si="120"/>
        <v>0</v>
      </c>
      <c r="O614" s="1338"/>
      <c r="P614" s="1282">
        <f t="shared" si="121"/>
        <v>0</v>
      </c>
      <c r="Q614" s="1338"/>
      <c r="R614" s="1282">
        <f t="shared" si="122"/>
        <v>0</v>
      </c>
      <c r="S614" s="1338"/>
      <c r="T614" s="1283">
        <f t="shared" si="123"/>
        <v>0</v>
      </c>
      <c r="U614" s="1284">
        <f t="shared" si="124"/>
        <v>0</v>
      </c>
      <c r="V614" s="1285">
        <f t="shared" si="125"/>
        <v>0</v>
      </c>
    </row>
    <row r="615" spans="1:22" s="1325" customFormat="1" ht="16.5" thickBot="1">
      <c r="A615" s="1324"/>
      <c r="B615" s="1388" t="s">
        <v>1333</v>
      </c>
      <c r="C615" s="1389"/>
      <c r="D615" s="1389"/>
      <c r="E615" s="1389"/>
      <c r="F615" s="1390"/>
      <c r="G615" s="1259">
        <f>SUM(G86:G614)</f>
        <v>0</v>
      </c>
      <c r="H615" s="1259">
        <f t="shared" ref="H615:T615" si="126">SUM(H86:H614)</f>
        <v>0</v>
      </c>
      <c r="I615" s="1259">
        <f t="shared" si="126"/>
        <v>0</v>
      </c>
      <c r="J615" s="1259">
        <f t="shared" si="126"/>
        <v>0</v>
      </c>
      <c r="K615" s="1259">
        <f t="shared" si="126"/>
        <v>0</v>
      </c>
      <c r="L615" s="1259">
        <f t="shared" si="126"/>
        <v>0</v>
      </c>
      <c r="M615" s="1259">
        <f t="shared" si="126"/>
        <v>0</v>
      </c>
      <c r="N615" s="1259">
        <f t="shared" si="126"/>
        <v>0</v>
      </c>
      <c r="O615" s="1259">
        <f t="shared" si="126"/>
        <v>0</v>
      </c>
      <c r="P615" s="1259">
        <f t="shared" si="126"/>
        <v>0</v>
      </c>
      <c r="Q615" s="1259">
        <f t="shared" si="126"/>
        <v>0</v>
      </c>
      <c r="R615" s="1259">
        <f t="shared" si="126"/>
        <v>0</v>
      </c>
      <c r="S615" s="1259">
        <f t="shared" si="126"/>
        <v>0</v>
      </c>
      <c r="T615" s="1259">
        <f t="shared" si="126"/>
        <v>0</v>
      </c>
      <c r="U615" s="1261">
        <f t="shared" ref="U615" si="127">SUM(U86:U614)</f>
        <v>0</v>
      </c>
      <c r="V615" s="1262">
        <f>SUM(V86:V614)</f>
        <v>0</v>
      </c>
    </row>
    <row r="616" spans="1:22" ht="14.25">
      <c r="A616" s="1326"/>
      <c r="B616" s="1233"/>
      <c r="C616" s="1233"/>
      <c r="D616" s="1233"/>
      <c r="E616" s="1233"/>
      <c r="F616" s="1233"/>
      <c r="G616" s="1327"/>
      <c r="H616" s="1328"/>
      <c r="I616" s="1327"/>
      <c r="J616" s="1328"/>
      <c r="K616" s="1327"/>
      <c r="L616" s="1328"/>
      <c r="M616" s="1327"/>
      <c r="N616" s="1328"/>
      <c r="O616" s="1327"/>
      <c r="P616" s="1328"/>
      <c r="Q616" s="1327"/>
      <c r="R616" s="1328"/>
      <c r="S616" s="1327"/>
      <c r="T616" s="1328"/>
      <c r="U616" s="1329"/>
      <c r="V616" s="1329"/>
    </row>
    <row r="617" spans="1:22" s="1325" customFormat="1" ht="15.75">
      <c r="A617" s="1324"/>
      <c r="B617" s="1426" t="s">
        <v>535</v>
      </c>
      <c r="C617" s="1427"/>
      <c r="D617" s="1427"/>
      <c r="E617" s="1427"/>
      <c r="F617" s="1428"/>
      <c r="G617" s="1330"/>
      <c r="H617" s="1330">
        <f>H82+H615</f>
        <v>0</v>
      </c>
      <c r="I617" s="1330"/>
      <c r="J617" s="1330">
        <f>J82+J615</f>
        <v>0</v>
      </c>
      <c r="K617" s="1330"/>
      <c r="L617" s="1330">
        <f>L82+L615</f>
        <v>0</v>
      </c>
      <c r="M617" s="1330"/>
      <c r="N617" s="1330">
        <f>N82+N615</f>
        <v>0</v>
      </c>
      <c r="O617" s="1330"/>
      <c r="P617" s="1330">
        <f>P82+P615</f>
        <v>0</v>
      </c>
      <c r="Q617" s="1330"/>
      <c r="R617" s="1330">
        <f>R82+R615</f>
        <v>0</v>
      </c>
      <c r="S617" s="1330"/>
      <c r="T617" s="1330">
        <f>T82+T615</f>
        <v>0</v>
      </c>
      <c r="U617" s="1330">
        <f>U82+U615</f>
        <v>0</v>
      </c>
      <c r="V617" s="1330">
        <f>V82+V615</f>
        <v>0</v>
      </c>
    </row>
    <row r="618" spans="1:22" s="1332" customFormat="1" ht="15.75">
      <c r="A618" s="1331"/>
      <c r="B618" s="1263"/>
      <c r="C618" s="1263"/>
      <c r="D618" s="1263"/>
      <c r="E618" s="1263"/>
      <c r="F618" s="1263"/>
      <c r="G618" s="1264"/>
      <c r="H618" s="1264"/>
      <c r="I618" s="1264"/>
      <c r="J618" s="1264"/>
      <c r="K618" s="1264"/>
      <c r="L618" s="1264"/>
      <c r="M618" s="1264"/>
      <c r="N618" s="1264"/>
      <c r="O618" s="1264"/>
      <c r="P618" s="1264"/>
      <c r="Q618" s="1264"/>
      <c r="R618" s="1264"/>
      <c r="S618" s="1264"/>
      <c r="T618" s="1264"/>
      <c r="U618" s="1264"/>
      <c r="V618" s="1264"/>
    </row>
    <row r="619" spans="1:22" s="1325" customFormat="1" ht="39" customHeight="1">
      <c r="A619" s="1324"/>
      <c r="B619" s="1391" t="s">
        <v>2046</v>
      </c>
      <c r="C619" s="1392"/>
      <c r="D619" s="1392"/>
      <c r="E619" s="1392"/>
      <c r="F619" s="1393"/>
      <c r="G619" s="1333"/>
      <c r="H619" s="1333">
        <f>H617+'Unbewertetes Zusatzentgelt'!G28+'Unbewertete Fallpauschale'!E32</f>
        <v>0</v>
      </c>
      <c r="I619" s="1333"/>
      <c r="J619" s="1333">
        <f>J617+'Unbewertetes Zusatzentgelt'!I28+'Unbewertete Fallpauschale'!G32</f>
        <v>0</v>
      </c>
      <c r="K619" s="1333"/>
      <c r="L619" s="1333">
        <f>L617+'Unbewertetes Zusatzentgelt'!K28+'Unbewertete Fallpauschale'!I32</f>
        <v>0</v>
      </c>
      <c r="M619" s="1333"/>
      <c r="N619" s="1333">
        <f>N617+'Unbewertetes Zusatzentgelt'!M28+'Unbewertete Fallpauschale'!K32</f>
        <v>0</v>
      </c>
      <c r="O619" s="1333"/>
      <c r="P619" s="1333">
        <f>P617+'Unbewertetes Zusatzentgelt'!O28+'Unbewertete Fallpauschale'!M32</f>
        <v>0</v>
      </c>
      <c r="Q619" s="1333"/>
      <c r="R619" s="1333">
        <f>R617+'Unbewertetes Zusatzentgelt'!Q28+'Unbewertete Fallpauschale'!O32</f>
        <v>0</v>
      </c>
      <c r="S619" s="1333"/>
      <c r="T619" s="1333">
        <f>T617+'Unbewertetes Zusatzentgelt'!S28+'Unbewertete Fallpauschale'!Q32</f>
        <v>0</v>
      </c>
      <c r="U619" s="1333">
        <f>U617+'Unbewertete Fallpauschale'!R32+'Unbewertetes Zusatzentgelt'!T28</f>
        <v>0</v>
      </c>
      <c r="V619" s="1333">
        <f>V617+'Unbewertete Fallpauschale'!S32+'Unbewertetes Zusatzentgelt'!U28</f>
        <v>0</v>
      </c>
    </row>
    <row r="620" spans="1:22" ht="60">
      <c r="A620" s="1326"/>
      <c r="B620" s="1425"/>
      <c r="C620" s="1425"/>
      <c r="D620" s="1425"/>
      <c r="E620" s="1425"/>
      <c r="F620" s="1425"/>
      <c r="G620" s="757"/>
      <c r="H620" s="1334" t="s">
        <v>2020</v>
      </c>
      <c r="I620" s="847"/>
      <c r="J620" s="1334" t="s">
        <v>2057</v>
      </c>
      <c r="K620" s="847"/>
      <c r="L620" s="1334" t="s">
        <v>1401</v>
      </c>
      <c r="M620" s="847"/>
      <c r="N620" s="1334" t="s">
        <v>1402</v>
      </c>
      <c r="O620" s="847"/>
      <c r="P620" s="1334" t="s">
        <v>1403</v>
      </c>
      <c r="Q620" s="757"/>
      <c r="R620" s="1334" t="s">
        <v>1404</v>
      </c>
      <c r="S620" s="757"/>
      <c r="T620" s="1334" t="s">
        <v>1405</v>
      </c>
      <c r="U620" s="759"/>
      <c r="V620" s="759"/>
    </row>
    <row r="621" spans="1:22" ht="14.25">
      <c r="A621" s="1326"/>
      <c r="B621" s="1233"/>
      <c r="C621" s="1233"/>
      <c r="D621" s="1233"/>
      <c r="E621" s="1233"/>
      <c r="F621" s="1233"/>
      <c r="G621" s="1231"/>
      <c r="H621" s="1230"/>
      <c r="I621" s="1231"/>
      <c r="J621" s="1230"/>
      <c r="K621" s="1231"/>
      <c r="L621" s="1230"/>
      <c r="M621" s="1231"/>
      <c r="N621" s="1230"/>
      <c r="O621" s="1231"/>
      <c r="P621" s="1230"/>
      <c r="Q621" s="1231"/>
      <c r="R621" s="1230"/>
      <c r="S621" s="1231"/>
      <c r="T621" s="1230"/>
      <c r="U621" s="1232"/>
      <c r="V621" s="1232"/>
    </row>
    <row r="622" spans="1:22" ht="14.25">
      <c r="A622" s="1326"/>
      <c r="B622" s="1233"/>
      <c r="C622" s="1233"/>
      <c r="D622" s="1233"/>
      <c r="E622" s="1233"/>
      <c r="F622" s="1233"/>
      <c r="G622" s="1231"/>
      <c r="H622" s="1230"/>
      <c r="I622" s="1231"/>
      <c r="J622" s="1230"/>
      <c r="K622" s="1231"/>
      <c r="L622" s="1230"/>
      <c r="M622" s="1231"/>
      <c r="N622" s="1230"/>
      <c r="O622" s="1231"/>
      <c r="P622" s="1230"/>
      <c r="Q622" s="1231"/>
      <c r="R622" s="1230"/>
      <c r="S622" s="1231"/>
      <c r="T622" s="1230"/>
      <c r="U622" s="1232"/>
      <c r="V622" s="1232"/>
    </row>
    <row r="624" spans="1:22">
      <c r="I624" s="1336"/>
      <c r="K624" s="1336"/>
      <c r="M624" s="1336"/>
      <c r="O624" s="1336"/>
      <c r="Q624" s="1336"/>
      <c r="S624" s="1336"/>
    </row>
  </sheetData>
  <sheetProtection password="8B2B" sheet="1" objects="1" scenarios="1" formatCells="0" formatColumns="0" formatRows="0"/>
  <mergeCells count="285">
    <mergeCell ref="B78:B79"/>
    <mergeCell ref="C78:C79"/>
    <mergeCell ref="F78:F79"/>
    <mergeCell ref="F72:F73"/>
    <mergeCell ref="M3:N3"/>
    <mergeCell ref="B80:B81"/>
    <mergeCell ref="C80:C81"/>
    <mergeCell ref="F80:F81"/>
    <mergeCell ref="B76:B77"/>
    <mergeCell ref="C76:C77"/>
    <mergeCell ref="F76:F77"/>
    <mergeCell ref="B70:B71"/>
    <mergeCell ref="C70:C71"/>
    <mergeCell ref="F70:F71"/>
    <mergeCell ref="B72:B73"/>
    <mergeCell ref="C72:C73"/>
    <mergeCell ref="L70:L71"/>
    <mergeCell ref="M70:M71"/>
    <mergeCell ref="K53:K60"/>
    <mergeCell ref="H76:H77"/>
    <mergeCell ref="H78:H79"/>
    <mergeCell ref="G80:G81"/>
    <mergeCell ref="G78:G79"/>
    <mergeCell ref="G76:G77"/>
    <mergeCell ref="B1:F1"/>
    <mergeCell ref="G3:H3"/>
    <mergeCell ref="I3:J3"/>
    <mergeCell ref="B74:B75"/>
    <mergeCell ref="C74:C75"/>
    <mergeCell ref="F74:F75"/>
    <mergeCell ref="B21:B28"/>
    <mergeCell ref="C21:C28"/>
    <mergeCell ref="F21:F28"/>
    <mergeCell ref="J70:J71"/>
    <mergeCell ref="B37:B44"/>
    <mergeCell ref="C37:C44"/>
    <mergeCell ref="F37:F44"/>
    <mergeCell ref="B45:B52"/>
    <mergeCell ref="C45:C52"/>
    <mergeCell ref="F45:F52"/>
    <mergeCell ref="I74:I75"/>
    <mergeCell ref="J74:J75"/>
    <mergeCell ref="I21:I28"/>
    <mergeCell ref="J53:J60"/>
    <mergeCell ref="B53:B60"/>
    <mergeCell ref="G21:G28"/>
    <mergeCell ref="G29:G36"/>
    <mergeCell ref="G74:G75"/>
    <mergeCell ref="U3:V3"/>
    <mergeCell ref="G8:G19"/>
    <mergeCell ref="O8:O19"/>
    <mergeCell ref="U8:U19"/>
    <mergeCell ref="V8:V19"/>
    <mergeCell ref="B6:F6"/>
    <mergeCell ref="S3:T3"/>
    <mergeCell ref="Q3:R3"/>
    <mergeCell ref="O3:P3"/>
    <mergeCell ref="K3:L3"/>
    <mergeCell ref="H8:H19"/>
    <mergeCell ref="S8:S19"/>
    <mergeCell ref="T8:T19"/>
    <mergeCell ref="B7:C7"/>
    <mergeCell ref="D7:F7"/>
    <mergeCell ref="B8:B19"/>
    <mergeCell ref="C8:C19"/>
    <mergeCell ref="F8:F19"/>
    <mergeCell ref="J8:J19"/>
    <mergeCell ref="N8:N19"/>
    <mergeCell ref="P8:P19"/>
    <mergeCell ref="H21:H28"/>
    <mergeCell ref="H29:H36"/>
    <mergeCell ref="I72:I73"/>
    <mergeCell ref="J72:J73"/>
    <mergeCell ref="K72:K73"/>
    <mergeCell ref="I70:I71"/>
    <mergeCell ref="C53:C60"/>
    <mergeCell ref="F53:F60"/>
    <mergeCell ref="H74:H75"/>
    <mergeCell ref="I37:I44"/>
    <mergeCell ref="K70:K71"/>
    <mergeCell ref="C61:C68"/>
    <mergeCell ref="F61:F68"/>
    <mergeCell ref="I53:I60"/>
    <mergeCell ref="H72:H73"/>
    <mergeCell ref="I45:I52"/>
    <mergeCell ref="J45:J52"/>
    <mergeCell ref="K45:K52"/>
    <mergeCell ref="J21:J28"/>
    <mergeCell ref="K21:K28"/>
    <mergeCell ref="H37:H44"/>
    <mergeCell ref="H45:H52"/>
    <mergeCell ref="H53:H60"/>
    <mergeCell ref="G37:G44"/>
    <mergeCell ref="O78:O79"/>
    <mergeCell ref="P78:P79"/>
    <mergeCell ref="Q78:Q79"/>
    <mergeCell ref="N76:N77"/>
    <mergeCell ref="O76:O77"/>
    <mergeCell ref="L53:L60"/>
    <mergeCell ref="M53:M60"/>
    <mergeCell ref="N53:N60"/>
    <mergeCell ref="Q74:Q75"/>
    <mergeCell ref="Q70:Q71"/>
    <mergeCell ref="P76:P77"/>
    <mergeCell ref="P72:P73"/>
    <mergeCell ref="L74:L75"/>
    <mergeCell ref="M74:M75"/>
    <mergeCell ref="N74:N75"/>
    <mergeCell ref="O74:O75"/>
    <mergeCell ref="P74:P75"/>
    <mergeCell ref="O70:O71"/>
    <mergeCell ref="P70:P71"/>
    <mergeCell ref="O72:O73"/>
    <mergeCell ref="N70:N71"/>
    <mergeCell ref="L72:L73"/>
    <mergeCell ref="M72:M73"/>
    <mergeCell ref="N72:N73"/>
    <mergeCell ref="V80:V81"/>
    <mergeCell ref="V78:V79"/>
    <mergeCell ref="V76:V77"/>
    <mergeCell ref="V74:V75"/>
    <mergeCell ref="V72:V73"/>
    <mergeCell ref="U76:U77"/>
    <mergeCell ref="U74:U75"/>
    <mergeCell ref="U72:U73"/>
    <mergeCell ref="S78:S79"/>
    <mergeCell ref="T78:T79"/>
    <mergeCell ref="S80:S81"/>
    <mergeCell ref="R70:R71"/>
    <mergeCell ref="Q72:Q73"/>
    <mergeCell ref="R72:R73"/>
    <mergeCell ref="R74:R75"/>
    <mergeCell ref="T80:T81"/>
    <mergeCell ref="U80:U81"/>
    <mergeCell ref="U78:U79"/>
    <mergeCell ref="S72:S73"/>
    <mergeCell ref="Q80:Q81"/>
    <mergeCell ref="R80:R81"/>
    <mergeCell ref="T72:T73"/>
    <mergeCell ref="S74:S75"/>
    <mergeCell ref="T74:T75"/>
    <mergeCell ref="S76:S77"/>
    <mergeCell ref="T76:T77"/>
    <mergeCell ref="R78:R79"/>
    <mergeCell ref="Q45:Q52"/>
    <mergeCell ref="J37:J44"/>
    <mergeCell ref="K37:K44"/>
    <mergeCell ref="N29:N36"/>
    <mergeCell ref="Q37:Q44"/>
    <mergeCell ref="P37:P44"/>
    <mergeCell ref="O21:O28"/>
    <mergeCell ref="P21:P28"/>
    <mergeCell ref="Q21:Q28"/>
    <mergeCell ref="L45:L52"/>
    <mergeCell ref="M45:M52"/>
    <mergeCell ref="N45:N52"/>
    <mergeCell ref="O45:O52"/>
    <mergeCell ref="P45:P52"/>
    <mergeCell ref="L37:L44"/>
    <mergeCell ref="M37:M44"/>
    <mergeCell ref="N37:N44"/>
    <mergeCell ref="B620:F620"/>
    <mergeCell ref="B617:F617"/>
    <mergeCell ref="I80:I81"/>
    <mergeCell ref="J80:J81"/>
    <mergeCell ref="K80:K81"/>
    <mergeCell ref="H80:H81"/>
    <mergeCell ref="V21:V28"/>
    <mergeCell ref="V61:V68"/>
    <mergeCell ref="V53:V60"/>
    <mergeCell ref="V45:V52"/>
    <mergeCell ref="V37:V44"/>
    <mergeCell ref="V29:V36"/>
    <mergeCell ref="O53:O60"/>
    <mergeCell ref="R45:R52"/>
    <mergeCell ref="Q61:Q68"/>
    <mergeCell ref="R61:R68"/>
    <mergeCell ref="R37:R44"/>
    <mergeCell ref="V70:V71"/>
    <mergeCell ref="N80:N81"/>
    <mergeCell ref="O80:O81"/>
    <mergeCell ref="P80:P81"/>
    <mergeCell ref="N78:N79"/>
    <mergeCell ref="Q76:Q77"/>
    <mergeCell ref="R76:R77"/>
    <mergeCell ref="R21:R28"/>
    <mergeCell ref="N61:N68"/>
    <mergeCell ref="O61:O68"/>
    <mergeCell ref="P61:P68"/>
    <mergeCell ref="I8:I19"/>
    <mergeCell ref="K8:K19"/>
    <mergeCell ref="M8:M19"/>
    <mergeCell ref="L8:L19"/>
    <mergeCell ref="R29:R36"/>
    <mergeCell ref="Q8:Q19"/>
    <mergeCell ref="R8:R19"/>
    <mergeCell ref="Q53:Q60"/>
    <mergeCell ref="R53:R60"/>
    <mergeCell ref="Q29:Q36"/>
    <mergeCell ref="O29:O36"/>
    <mergeCell ref="P29:P36"/>
    <mergeCell ref="P53:P60"/>
    <mergeCell ref="I61:I68"/>
    <mergeCell ref="J61:J68"/>
    <mergeCell ref="K61:K68"/>
    <mergeCell ref="O37:O44"/>
    <mergeCell ref="L21:L28"/>
    <mergeCell ref="M21:M28"/>
    <mergeCell ref="N21:N28"/>
    <mergeCell ref="J76:J77"/>
    <mergeCell ref="K76:K77"/>
    <mergeCell ref="L76:L77"/>
    <mergeCell ref="M76:M77"/>
    <mergeCell ref="L61:L68"/>
    <mergeCell ref="M61:M68"/>
    <mergeCell ref="C29:C36"/>
    <mergeCell ref="F29:F36"/>
    <mergeCell ref="B29:B36"/>
    <mergeCell ref="H70:H71"/>
    <mergeCell ref="K74:K75"/>
    <mergeCell ref="B61:B68"/>
    <mergeCell ref="H61:H68"/>
    <mergeCell ref="G45:G52"/>
    <mergeCell ref="G61:G68"/>
    <mergeCell ref="G53:G60"/>
    <mergeCell ref="G70:G71"/>
    <mergeCell ref="G72:G73"/>
    <mergeCell ref="U29:U36"/>
    <mergeCell ref="S61:S68"/>
    <mergeCell ref="T61:T68"/>
    <mergeCell ref="S70:S71"/>
    <mergeCell ref="T70:T71"/>
    <mergeCell ref="S21:S28"/>
    <mergeCell ref="T21:T28"/>
    <mergeCell ref="S29:S36"/>
    <mergeCell ref="T29:T36"/>
    <mergeCell ref="S37:S44"/>
    <mergeCell ref="U70:U71"/>
    <mergeCell ref="U21:U28"/>
    <mergeCell ref="U61:U68"/>
    <mergeCell ref="U53:U60"/>
    <mergeCell ref="U45:U52"/>
    <mergeCell ref="U37:U44"/>
    <mergeCell ref="T37:T44"/>
    <mergeCell ref="S45:S52"/>
    <mergeCell ref="T45:T52"/>
    <mergeCell ref="S53:S60"/>
    <mergeCell ref="T53:T60"/>
    <mergeCell ref="T560:T564"/>
    <mergeCell ref="O560:O564"/>
    <mergeCell ref="B560:B564"/>
    <mergeCell ref="C560:C564"/>
    <mergeCell ref="U560:U564"/>
    <mergeCell ref="V560:V564"/>
    <mergeCell ref="G560:G564"/>
    <mergeCell ref="H560:H564"/>
    <mergeCell ref="I560:I564"/>
    <mergeCell ref="J560:J564"/>
    <mergeCell ref="K560:K564"/>
    <mergeCell ref="L560:L564"/>
    <mergeCell ref="F560:F564"/>
    <mergeCell ref="B2:F2"/>
    <mergeCell ref="B615:F615"/>
    <mergeCell ref="B619:F619"/>
    <mergeCell ref="P560:P564"/>
    <mergeCell ref="Q560:Q564"/>
    <mergeCell ref="R560:R564"/>
    <mergeCell ref="S560:S564"/>
    <mergeCell ref="M560:M564"/>
    <mergeCell ref="N560:N564"/>
    <mergeCell ref="B84:F84"/>
    <mergeCell ref="B82:F82"/>
    <mergeCell ref="L80:L81"/>
    <mergeCell ref="M80:M81"/>
    <mergeCell ref="I78:I79"/>
    <mergeCell ref="J78:J79"/>
    <mergeCell ref="I29:I36"/>
    <mergeCell ref="J29:J36"/>
    <mergeCell ref="K29:K36"/>
    <mergeCell ref="L29:L36"/>
    <mergeCell ref="M29:M36"/>
    <mergeCell ref="K78:K79"/>
    <mergeCell ref="L78:L79"/>
    <mergeCell ref="M78:M79"/>
    <mergeCell ref="I76:I77"/>
  </mergeCells>
  <pageMargins left="0.25" right="0.25" top="0.47" bottom="0.36" header="0.3" footer="0.3"/>
  <pageSetup paperSize="9" scale="29" fitToHeight="0" orientation="portrait" r:id="rId1"/>
  <rowBreaks count="4" manualBreakCount="4">
    <brk id="82" max="16383" man="1"/>
    <brk id="289" max="16383" man="1"/>
    <brk id="468" max="16383" man="1"/>
    <brk id="592" max="16383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00B050"/>
    <pageSetUpPr fitToPage="1"/>
  </sheetPr>
  <dimension ref="A1:U29"/>
  <sheetViews>
    <sheetView zoomScale="75" zoomScaleNormal="75" workbookViewId="0">
      <selection activeCell="F6" sqref="F6"/>
    </sheetView>
  </sheetViews>
  <sheetFormatPr baseColWidth="10" defaultRowHeight="12.75" outlineLevelRow="1" outlineLevelCol="1"/>
  <cols>
    <col min="1" max="1" width="15" customWidth="1"/>
    <col min="2" max="2" width="53.28515625" customWidth="1" outlineLevel="1"/>
    <col min="3" max="3" width="15" customWidth="1" outlineLevel="1"/>
    <col min="4" max="4" width="65.140625" customWidth="1" outlineLevel="1"/>
    <col min="5" max="5" width="16" customWidth="1" outlineLevel="1"/>
  </cols>
  <sheetData>
    <row r="1" spans="1:21" ht="35.25" customHeight="1">
      <c r="A1" s="1460" t="s">
        <v>686</v>
      </c>
      <c r="B1" s="1460"/>
      <c r="C1" s="1460"/>
      <c r="D1" s="1460"/>
      <c r="E1" s="1029"/>
    </row>
    <row r="2" spans="1:21" ht="18">
      <c r="A2" s="1463">
        <f>'ITAR_K Gesamtansicht'!C3</f>
        <v>0</v>
      </c>
      <c r="B2" s="1464"/>
      <c r="C2" s="1464"/>
      <c r="D2" s="1464"/>
    </row>
    <row r="3" spans="1:21" ht="39.75" customHeight="1">
      <c r="A3" s="926" t="s">
        <v>532</v>
      </c>
      <c r="B3" s="926" t="s">
        <v>173</v>
      </c>
      <c r="C3" s="926" t="s">
        <v>675</v>
      </c>
      <c r="D3" s="926" t="s">
        <v>2042</v>
      </c>
      <c r="E3" s="1028" t="s">
        <v>676</v>
      </c>
      <c r="F3" s="1454" t="s">
        <v>92</v>
      </c>
      <c r="G3" s="1454"/>
      <c r="H3" s="1454" t="s">
        <v>79</v>
      </c>
      <c r="I3" s="1454"/>
      <c r="J3" s="1454" t="s">
        <v>12</v>
      </c>
      <c r="K3" s="1454"/>
      <c r="L3" s="1454" t="s">
        <v>80</v>
      </c>
      <c r="M3" s="1454"/>
      <c r="N3" s="1454" t="s">
        <v>128</v>
      </c>
      <c r="O3" s="1454"/>
      <c r="P3" s="1454" t="s">
        <v>539</v>
      </c>
      <c r="Q3" s="1454"/>
      <c r="R3" s="1454" t="s">
        <v>540</v>
      </c>
      <c r="S3" s="1454"/>
      <c r="T3" s="1454" t="s">
        <v>84</v>
      </c>
      <c r="U3" s="1455"/>
    </row>
    <row r="4" spans="1:21" ht="30" customHeight="1">
      <c r="A4" s="304">
        <v>1</v>
      </c>
      <c r="B4" s="304">
        <v>2</v>
      </c>
      <c r="C4" s="304">
        <v>3</v>
      </c>
      <c r="D4" s="304">
        <v>4</v>
      </c>
      <c r="E4" s="304">
        <v>5</v>
      </c>
      <c r="F4" s="304" t="s">
        <v>174</v>
      </c>
      <c r="G4" s="304" t="s">
        <v>175</v>
      </c>
      <c r="H4" s="304" t="s">
        <v>174</v>
      </c>
      <c r="I4" s="305" t="s">
        <v>175</v>
      </c>
      <c r="J4" s="304" t="s">
        <v>174</v>
      </c>
      <c r="K4" s="305" t="s">
        <v>175</v>
      </c>
      <c r="L4" s="304" t="s">
        <v>174</v>
      </c>
      <c r="M4" s="305" t="s">
        <v>175</v>
      </c>
      <c r="N4" s="304" t="s">
        <v>174</v>
      </c>
      <c r="O4" s="305" t="s">
        <v>175</v>
      </c>
      <c r="P4" s="304" t="s">
        <v>174</v>
      </c>
      <c r="Q4" s="305" t="s">
        <v>175</v>
      </c>
      <c r="R4" s="304" t="s">
        <v>174</v>
      </c>
      <c r="S4" s="305" t="s">
        <v>175</v>
      </c>
      <c r="T4" s="304" t="s">
        <v>174</v>
      </c>
      <c r="U4" s="531" t="s">
        <v>175</v>
      </c>
    </row>
    <row r="5" spans="1:21" s="30" customFormat="1" ht="21" customHeight="1">
      <c r="A5" s="927" t="s">
        <v>2032</v>
      </c>
      <c r="B5" s="1458" t="s">
        <v>677</v>
      </c>
      <c r="C5" s="1459"/>
      <c r="D5" s="928"/>
      <c r="E5" s="928"/>
      <c r="F5" s="929"/>
      <c r="G5" s="930"/>
      <c r="H5" s="929"/>
      <c r="I5" s="930"/>
      <c r="J5" s="929"/>
      <c r="K5" s="930"/>
      <c r="L5" s="929"/>
      <c r="M5" s="930"/>
      <c r="N5" s="929"/>
      <c r="O5" s="930"/>
      <c r="P5" s="929"/>
      <c r="Q5" s="930"/>
      <c r="R5" s="929"/>
      <c r="S5" s="930"/>
      <c r="T5" s="929"/>
      <c r="U5" s="931"/>
    </row>
    <row r="6" spans="1:21" ht="26.25" customHeight="1" outlineLevel="1">
      <c r="A6" s="919" t="s">
        <v>2021</v>
      </c>
      <c r="B6" s="920" t="s">
        <v>677</v>
      </c>
      <c r="C6" s="919" t="s">
        <v>322</v>
      </c>
      <c r="D6" s="919" t="s">
        <v>323</v>
      </c>
      <c r="E6" s="1456" t="s">
        <v>678</v>
      </c>
      <c r="F6" s="1340"/>
      <c r="G6" s="1340"/>
      <c r="H6" s="1340"/>
      <c r="I6" s="1340"/>
      <c r="J6" s="1340"/>
      <c r="K6" s="1340"/>
      <c r="L6" s="1340"/>
      <c r="M6" s="1340"/>
      <c r="N6" s="1340"/>
      <c r="O6" s="1340"/>
      <c r="P6" s="1340"/>
      <c r="Q6" s="1340"/>
      <c r="R6" s="1340"/>
      <c r="S6" s="1340"/>
      <c r="T6" s="732">
        <f>F6+H6+J6+L6+N6+P6+R6</f>
        <v>0</v>
      </c>
      <c r="U6" s="732">
        <f>G6+I6+K6+M6+O6+Q6+S6</f>
        <v>0</v>
      </c>
    </row>
    <row r="7" spans="1:21" ht="26.25" customHeight="1" outlineLevel="1">
      <c r="A7" s="919" t="s">
        <v>2022</v>
      </c>
      <c r="B7" s="920" t="s">
        <v>677</v>
      </c>
      <c r="C7" s="919" t="s">
        <v>324</v>
      </c>
      <c r="D7" s="919" t="s">
        <v>325</v>
      </c>
      <c r="E7" s="1456"/>
      <c r="F7" s="1340"/>
      <c r="G7" s="1340"/>
      <c r="H7" s="1340"/>
      <c r="I7" s="1340"/>
      <c r="J7" s="1340"/>
      <c r="K7" s="1340"/>
      <c r="L7" s="1340"/>
      <c r="M7" s="1340"/>
      <c r="N7" s="1340"/>
      <c r="O7" s="1340"/>
      <c r="P7" s="1340"/>
      <c r="Q7" s="1340"/>
      <c r="R7" s="1340"/>
      <c r="S7" s="1340"/>
      <c r="T7" s="732">
        <f t="shared" ref="T7:T16" si="0">F7+H7+J7+L7+N7+P7+R7</f>
        <v>0</v>
      </c>
      <c r="U7" s="732">
        <f t="shared" ref="U7:U16" si="1">G7+I7+K7+M7+O7+Q7+S7</f>
        <v>0</v>
      </c>
    </row>
    <row r="8" spans="1:21" ht="26.25" customHeight="1" outlineLevel="1">
      <c r="A8" s="919" t="s">
        <v>2023</v>
      </c>
      <c r="B8" s="920" t="s">
        <v>677</v>
      </c>
      <c r="C8" s="919" t="s">
        <v>326</v>
      </c>
      <c r="D8" s="919" t="s">
        <v>327</v>
      </c>
      <c r="E8" s="1456"/>
      <c r="F8" s="1340"/>
      <c r="G8" s="1340"/>
      <c r="H8" s="1340"/>
      <c r="I8" s="1340"/>
      <c r="J8" s="1340"/>
      <c r="K8" s="1340"/>
      <c r="L8" s="1340"/>
      <c r="M8" s="1340"/>
      <c r="N8" s="1340"/>
      <c r="O8" s="1340"/>
      <c r="P8" s="1340"/>
      <c r="Q8" s="1340"/>
      <c r="R8" s="1340"/>
      <c r="S8" s="1340"/>
      <c r="T8" s="732">
        <f t="shared" si="0"/>
        <v>0</v>
      </c>
      <c r="U8" s="732">
        <f t="shared" si="1"/>
        <v>0</v>
      </c>
    </row>
    <row r="9" spans="1:21" ht="26.25" customHeight="1" outlineLevel="1">
      <c r="A9" s="919" t="s">
        <v>2024</v>
      </c>
      <c r="B9" s="920" t="s">
        <v>677</v>
      </c>
      <c r="C9" s="919" t="s">
        <v>328</v>
      </c>
      <c r="D9" s="919" t="s">
        <v>329</v>
      </c>
      <c r="E9" s="1456"/>
      <c r="F9" s="1340"/>
      <c r="G9" s="1340"/>
      <c r="H9" s="1340"/>
      <c r="I9" s="1340"/>
      <c r="J9" s="1340"/>
      <c r="K9" s="1340"/>
      <c r="L9" s="1340"/>
      <c r="M9" s="1340"/>
      <c r="N9" s="1340"/>
      <c r="O9" s="1340"/>
      <c r="P9" s="1340"/>
      <c r="Q9" s="1340"/>
      <c r="R9" s="1340"/>
      <c r="S9" s="1340"/>
      <c r="T9" s="732">
        <f t="shared" si="0"/>
        <v>0</v>
      </c>
      <c r="U9" s="732">
        <f t="shared" si="1"/>
        <v>0</v>
      </c>
    </row>
    <row r="10" spans="1:21" ht="26.25" customHeight="1" outlineLevel="1">
      <c r="A10" s="919" t="s">
        <v>2025</v>
      </c>
      <c r="B10" s="920" t="s">
        <v>677</v>
      </c>
      <c r="C10" s="919" t="s">
        <v>330</v>
      </c>
      <c r="D10" s="919" t="s">
        <v>331</v>
      </c>
      <c r="E10" s="1456"/>
      <c r="F10" s="1340"/>
      <c r="G10" s="1340"/>
      <c r="H10" s="1340"/>
      <c r="I10" s="1340"/>
      <c r="J10" s="1340"/>
      <c r="K10" s="1340"/>
      <c r="L10" s="1340"/>
      <c r="M10" s="1340"/>
      <c r="N10" s="1340"/>
      <c r="O10" s="1340"/>
      <c r="P10" s="1340"/>
      <c r="Q10" s="1340"/>
      <c r="R10" s="1340"/>
      <c r="S10" s="1340"/>
      <c r="T10" s="732">
        <f t="shared" si="0"/>
        <v>0</v>
      </c>
      <c r="U10" s="732">
        <f t="shared" si="1"/>
        <v>0</v>
      </c>
    </row>
    <row r="11" spans="1:21" ht="26.25" customHeight="1" outlineLevel="1">
      <c r="A11" s="919" t="s">
        <v>2026</v>
      </c>
      <c r="B11" s="920" t="s">
        <v>677</v>
      </c>
      <c r="C11" s="919" t="s">
        <v>332</v>
      </c>
      <c r="D11" s="919" t="s">
        <v>333</v>
      </c>
      <c r="E11" s="1456"/>
      <c r="F11" s="1340"/>
      <c r="G11" s="1340"/>
      <c r="H11" s="1340"/>
      <c r="I11" s="1340"/>
      <c r="J11" s="1340"/>
      <c r="K11" s="1340"/>
      <c r="L11" s="1340"/>
      <c r="M11" s="1340"/>
      <c r="N11" s="1340"/>
      <c r="O11" s="1340"/>
      <c r="P11" s="1340"/>
      <c r="Q11" s="1340"/>
      <c r="R11" s="1340"/>
      <c r="S11" s="1340"/>
      <c r="T11" s="732">
        <f t="shared" si="0"/>
        <v>0</v>
      </c>
      <c r="U11" s="732">
        <f t="shared" si="1"/>
        <v>0</v>
      </c>
    </row>
    <row r="12" spans="1:21" ht="26.25" customHeight="1" outlineLevel="1">
      <c r="A12" s="919" t="s">
        <v>2027</v>
      </c>
      <c r="B12" s="920" t="s">
        <v>677</v>
      </c>
      <c r="C12" s="919" t="s">
        <v>334</v>
      </c>
      <c r="D12" s="919" t="s">
        <v>335</v>
      </c>
      <c r="E12" s="1456"/>
      <c r="F12" s="1340"/>
      <c r="G12" s="1340"/>
      <c r="H12" s="1340"/>
      <c r="I12" s="1340"/>
      <c r="J12" s="1340"/>
      <c r="K12" s="1340"/>
      <c r="L12" s="1340"/>
      <c r="M12" s="1340"/>
      <c r="N12" s="1340"/>
      <c r="O12" s="1340"/>
      <c r="P12" s="1340"/>
      <c r="Q12" s="1340"/>
      <c r="R12" s="1340"/>
      <c r="S12" s="1340"/>
      <c r="T12" s="732">
        <f t="shared" si="0"/>
        <v>0</v>
      </c>
      <c r="U12" s="732">
        <f t="shared" si="1"/>
        <v>0</v>
      </c>
    </row>
    <row r="13" spans="1:21" ht="26.25" customHeight="1" outlineLevel="1">
      <c r="A13" s="919" t="s">
        <v>2028</v>
      </c>
      <c r="B13" s="920" t="s">
        <v>677</v>
      </c>
      <c r="C13" s="919" t="s">
        <v>336</v>
      </c>
      <c r="D13" s="919" t="s">
        <v>337</v>
      </c>
      <c r="E13" s="1456"/>
      <c r="F13" s="1340"/>
      <c r="G13" s="1340"/>
      <c r="H13" s="1340"/>
      <c r="I13" s="1340"/>
      <c r="J13" s="1340"/>
      <c r="K13" s="1340"/>
      <c r="L13" s="1340"/>
      <c r="M13" s="1340"/>
      <c r="N13" s="1340"/>
      <c r="O13" s="1340"/>
      <c r="P13" s="1340"/>
      <c r="Q13" s="1340"/>
      <c r="R13" s="1340"/>
      <c r="S13" s="1340"/>
      <c r="T13" s="732">
        <f t="shared" si="0"/>
        <v>0</v>
      </c>
      <c r="U13" s="732">
        <f t="shared" si="1"/>
        <v>0</v>
      </c>
    </row>
    <row r="14" spans="1:21" ht="26.25" customHeight="1" outlineLevel="1">
      <c r="A14" s="919" t="s">
        <v>2029</v>
      </c>
      <c r="B14" s="920" t="s">
        <v>677</v>
      </c>
      <c r="C14" s="919" t="s">
        <v>338</v>
      </c>
      <c r="D14" s="919" t="s">
        <v>339</v>
      </c>
      <c r="E14" s="1456"/>
      <c r="F14" s="1340"/>
      <c r="G14" s="1340"/>
      <c r="H14" s="1340"/>
      <c r="I14" s="1340"/>
      <c r="J14" s="1340"/>
      <c r="K14" s="1340"/>
      <c r="L14" s="1340"/>
      <c r="M14" s="1340"/>
      <c r="N14" s="1340"/>
      <c r="O14" s="1340"/>
      <c r="P14" s="1340"/>
      <c r="Q14" s="1340"/>
      <c r="R14" s="1340"/>
      <c r="S14" s="1340"/>
      <c r="T14" s="732">
        <f t="shared" si="0"/>
        <v>0</v>
      </c>
      <c r="U14" s="732">
        <f t="shared" si="1"/>
        <v>0</v>
      </c>
    </row>
    <row r="15" spans="1:21" ht="26.25" customHeight="1" outlineLevel="1">
      <c r="A15" s="919" t="s">
        <v>2030</v>
      </c>
      <c r="B15" s="920" t="s">
        <v>677</v>
      </c>
      <c r="C15" s="919" t="s">
        <v>340</v>
      </c>
      <c r="D15" s="919" t="s">
        <v>341</v>
      </c>
      <c r="E15" s="1456"/>
      <c r="F15" s="1340"/>
      <c r="G15" s="1340"/>
      <c r="H15" s="1340"/>
      <c r="I15" s="1340"/>
      <c r="J15" s="1340"/>
      <c r="K15" s="1340"/>
      <c r="L15" s="1340"/>
      <c r="M15" s="1340"/>
      <c r="N15" s="1340"/>
      <c r="O15" s="1340"/>
      <c r="P15" s="1340"/>
      <c r="Q15" s="1340"/>
      <c r="R15" s="1340"/>
      <c r="S15" s="1340"/>
      <c r="T15" s="732">
        <f t="shared" si="0"/>
        <v>0</v>
      </c>
      <c r="U15" s="732">
        <f t="shared" si="1"/>
        <v>0</v>
      </c>
    </row>
    <row r="16" spans="1:21" ht="26.25" customHeight="1" outlineLevel="1">
      <c r="A16" s="919" t="s">
        <v>2031</v>
      </c>
      <c r="B16" s="920" t="s">
        <v>677</v>
      </c>
      <c r="C16" s="921" t="s">
        <v>342</v>
      </c>
      <c r="D16" s="919" t="s">
        <v>343</v>
      </c>
      <c r="E16" s="1457"/>
      <c r="F16" s="1340"/>
      <c r="G16" s="1340"/>
      <c r="H16" s="1340"/>
      <c r="I16" s="1340"/>
      <c r="J16" s="1340"/>
      <c r="K16" s="1340"/>
      <c r="L16" s="1340"/>
      <c r="M16" s="1340"/>
      <c r="N16" s="1340"/>
      <c r="O16" s="1340"/>
      <c r="P16" s="1340"/>
      <c r="Q16" s="1340"/>
      <c r="R16" s="1340"/>
      <c r="S16" s="1340"/>
      <c r="T16" s="732">
        <f t="shared" si="0"/>
        <v>0</v>
      </c>
      <c r="U16" s="732">
        <f t="shared" si="1"/>
        <v>0</v>
      </c>
    </row>
    <row r="17" spans="1:21" s="925" customFormat="1" ht="24.75" customHeight="1">
      <c r="A17" s="932" t="s">
        <v>2043</v>
      </c>
      <c r="B17" s="933" t="s">
        <v>679</v>
      </c>
      <c r="C17" s="934"/>
      <c r="D17" s="935"/>
      <c r="E17" s="934"/>
      <c r="F17" s="922"/>
      <c r="G17" s="923"/>
      <c r="H17" s="923"/>
      <c r="I17" s="923"/>
      <c r="J17" s="923"/>
      <c r="K17" s="923"/>
      <c r="L17" s="923"/>
      <c r="M17" s="923"/>
      <c r="N17" s="923"/>
      <c r="O17" s="923"/>
      <c r="P17" s="923"/>
      <c r="Q17" s="923"/>
      <c r="R17" s="923"/>
      <c r="S17" s="923"/>
      <c r="T17" s="923"/>
      <c r="U17" s="924"/>
    </row>
    <row r="18" spans="1:21" ht="26.25" customHeight="1" outlineLevel="1">
      <c r="A18" s="936" t="s">
        <v>2033</v>
      </c>
      <c r="B18" s="937" t="s">
        <v>679</v>
      </c>
      <c r="C18" s="919" t="s">
        <v>344</v>
      </c>
      <c r="D18" s="919" t="s">
        <v>345</v>
      </c>
      <c r="E18" s="1456" t="s">
        <v>678</v>
      </c>
      <c r="F18" s="1340"/>
      <c r="G18" s="1340"/>
      <c r="H18" s="1340"/>
      <c r="I18" s="1340"/>
      <c r="J18" s="1340"/>
      <c r="K18" s="1340"/>
      <c r="L18" s="1340"/>
      <c r="M18" s="1340"/>
      <c r="N18" s="1340"/>
      <c r="O18" s="1340"/>
      <c r="P18" s="1340"/>
      <c r="Q18" s="1340"/>
      <c r="R18" s="1340"/>
      <c r="S18" s="1340"/>
      <c r="T18" s="729">
        <f>F18+H18+J18+L18+N18+P18+R18</f>
        <v>0</v>
      </c>
      <c r="U18" s="729">
        <f>G18+I18+K18+M18+O18+Q18+S18</f>
        <v>0</v>
      </c>
    </row>
    <row r="19" spans="1:21" ht="26.25" customHeight="1" outlineLevel="1">
      <c r="A19" s="936" t="s">
        <v>2034</v>
      </c>
      <c r="B19" s="937" t="s">
        <v>679</v>
      </c>
      <c r="C19" s="919" t="s">
        <v>344</v>
      </c>
      <c r="D19" s="919" t="s">
        <v>346</v>
      </c>
      <c r="E19" s="1456"/>
      <c r="F19" s="1340"/>
      <c r="G19" s="1340"/>
      <c r="H19" s="1340"/>
      <c r="I19" s="1340"/>
      <c r="J19" s="1340"/>
      <c r="K19" s="1340"/>
      <c r="L19" s="1340"/>
      <c r="M19" s="1340"/>
      <c r="N19" s="1340"/>
      <c r="O19" s="1340"/>
      <c r="P19" s="1340"/>
      <c r="Q19" s="1340"/>
      <c r="R19" s="1340"/>
      <c r="S19" s="1340"/>
      <c r="T19" s="729">
        <f t="shared" ref="T19:T27" si="2">F19+H19+J19+L19+N19+P19+R19</f>
        <v>0</v>
      </c>
      <c r="U19" s="729">
        <f t="shared" ref="U19:U27" si="3">G19+I19+K19+M19+O19+Q19+S19</f>
        <v>0</v>
      </c>
    </row>
    <row r="20" spans="1:21" ht="26.25" customHeight="1" outlineLevel="1">
      <c r="A20" s="936" t="s">
        <v>2035</v>
      </c>
      <c r="B20" s="937" t="s">
        <v>679</v>
      </c>
      <c r="C20" s="919" t="s">
        <v>347</v>
      </c>
      <c r="D20" s="919" t="s">
        <v>348</v>
      </c>
      <c r="E20" s="1456"/>
      <c r="F20" s="1340"/>
      <c r="G20" s="1340"/>
      <c r="H20" s="1340"/>
      <c r="I20" s="1340"/>
      <c r="J20" s="1340"/>
      <c r="K20" s="1340"/>
      <c r="L20" s="1340"/>
      <c r="M20" s="1340"/>
      <c r="N20" s="1340"/>
      <c r="O20" s="1340"/>
      <c r="P20" s="1340"/>
      <c r="Q20" s="1340"/>
      <c r="R20" s="1340"/>
      <c r="S20" s="1340"/>
      <c r="T20" s="729">
        <f t="shared" si="2"/>
        <v>0</v>
      </c>
      <c r="U20" s="729">
        <f t="shared" si="3"/>
        <v>0</v>
      </c>
    </row>
    <row r="21" spans="1:21" ht="26.25" customHeight="1" outlineLevel="1">
      <c r="A21" s="936" t="s">
        <v>2036</v>
      </c>
      <c r="B21" s="937" t="s">
        <v>679</v>
      </c>
      <c r="C21" s="919" t="s">
        <v>349</v>
      </c>
      <c r="D21" s="919" t="s">
        <v>350</v>
      </c>
      <c r="E21" s="1456"/>
      <c r="F21" s="1340"/>
      <c r="G21" s="1340"/>
      <c r="H21" s="1340"/>
      <c r="I21" s="1340"/>
      <c r="J21" s="1340"/>
      <c r="K21" s="1340"/>
      <c r="L21" s="1340"/>
      <c r="M21" s="1340"/>
      <c r="N21" s="1340"/>
      <c r="O21" s="1340"/>
      <c r="P21" s="1340"/>
      <c r="Q21" s="1340"/>
      <c r="R21" s="1340"/>
      <c r="S21" s="1340"/>
      <c r="T21" s="729">
        <f t="shared" si="2"/>
        <v>0</v>
      </c>
      <c r="U21" s="729">
        <f t="shared" si="3"/>
        <v>0</v>
      </c>
    </row>
    <row r="22" spans="1:21" ht="26.25" customHeight="1" outlineLevel="1">
      <c r="A22" s="936" t="s">
        <v>2037</v>
      </c>
      <c r="B22" s="937" t="s">
        <v>679</v>
      </c>
      <c r="C22" s="919" t="s">
        <v>351</v>
      </c>
      <c r="D22" s="919" t="s">
        <v>352</v>
      </c>
      <c r="E22" s="1456"/>
      <c r="F22" s="1340"/>
      <c r="G22" s="1340"/>
      <c r="H22" s="1340"/>
      <c r="I22" s="1340"/>
      <c r="J22" s="1340"/>
      <c r="K22" s="1340"/>
      <c r="L22" s="1340"/>
      <c r="M22" s="1340"/>
      <c r="N22" s="1340"/>
      <c r="O22" s="1340"/>
      <c r="P22" s="1340"/>
      <c r="Q22" s="1340"/>
      <c r="R22" s="1340"/>
      <c r="S22" s="1340"/>
      <c r="T22" s="729">
        <f t="shared" si="2"/>
        <v>0</v>
      </c>
      <c r="U22" s="729">
        <f t="shared" si="3"/>
        <v>0</v>
      </c>
    </row>
    <row r="23" spans="1:21" ht="26.25" customHeight="1" outlineLevel="1">
      <c r="A23" s="936" t="s">
        <v>2038</v>
      </c>
      <c r="B23" s="937" t="s">
        <v>679</v>
      </c>
      <c r="C23" s="919" t="s">
        <v>353</v>
      </c>
      <c r="D23" s="919" t="s">
        <v>354</v>
      </c>
      <c r="E23" s="1456"/>
      <c r="F23" s="1340"/>
      <c r="G23" s="1340"/>
      <c r="H23" s="1340"/>
      <c r="I23" s="1340"/>
      <c r="J23" s="1340"/>
      <c r="K23" s="1340"/>
      <c r="L23" s="1340"/>
      <c r="M23" s="1340"/>
      <c r="N23" s="1340"/>
      <c r="O23" s="1340"/>
      <c r="P23" s="1340"/>
      <c r="Q23" s="1340"/>
      <c r="R23" s="1340"/>
      <c r="S23" s="1340"/>
      <c r="T23" s="729">
        <f t="shared" si="2"/>
        <v>0</v>
      </c>
      <c r="U23" s="729">
        <f t="shared" si="3"/>
        <v>0</v>
      </c>
    </row>
    <row r="24" spans="1:21" ht="26.25" customHeight="1" outlineLevel="1">
      <c r="A24" s="936" t="s">
        <v>2039</v>
      </c>
      <c r="B24" s="937" t="s">
        <v>679</v>
      </c>
      <c r="C24" s="919" t="s">
        <v>680</v>
      </c>
      <c r="D24" s="919" t="s">
        <v>681</v>
      </c>
      <c r="E24" s="1456"/>
      <c r="F24" s="1340"/>
      <c r="G24" s="1340"/>
      <c r="H24" s="1340"/>
      <c r="I24" s="1340"/>
      <c r="J24" s="1340"/>
      <c r="K24" s="1340"/>
      <c r="L24" s="1340"/>
      <c r="M24" s="1340"/>
      <c r="N24" s="1340"/>
      <c r="O24" s="1340"/>
      <c r="P24" s="1340"/>
      <c r="Q24" s="1340"/>
      <c r="R24" s="1340"/>
      <c r="S24" s="1340"/>
      <c r="T24" s="729">
        <f t="shared" si="2"/>
        <v>0</v>
      </c>
      <c r="U24" s="729">
        <f t="shared" si="3"/>
        <v>0</v>
      </c>
    </row>
    <row r="25" spans="1:21" ht="26.25" customHeight="1" outlineLevel="1">
      <c r="A25" s="936" t="s">
        <v>2040</v>
      </c>
      <c r="B25" s="937" t="s">
        <v>679</v>
      </c>
      <c r="C25" s="919" t="s">
        <v>682</v>
      </c>
      <c r="D25" s="919" t="s">
        <v>683</v>
      </c>
      <c r="E25" s="1456"/>
      <c r="F25" s="1340"/>
      <c r="G25" s="1340"/>
      <c r="H25" s="1340"/>
      <c r="I25" s="1340"/>
      <c r="J25" s="1340"/>
      <c r="K25" s="1340"/>
      <c r="L25" s="1340"/>
      <c r="M25" s="1340"/>
      <c r="N25" s="1340"/>
      <c r="O25" s="1340"/>
      <c r="P25" s="1340"/>
      <c r="Q25" s="1340"/>
      <c r="R25" s="1340"/>
      <c r="S25" s="1340"/>
      <c r="T25" s="729">
        <f t="shared" si="2"/>
        <v>0</v>
      </c>
      <c r="U25" s="729">
        <f t="shared" si="3"/>
        <v>0</v>
      </c>
    </row>
    <row r="26" spans="1:21" ht="26.25" customHeight="1" outlineLevel="1">
      <c r="A26" s="936" t="s">
        <v>2041</v>
      </c>
      <c r="B26" s="937" t="s">
        <v>679</v>
      </c>
      <c r="C26" s="919" t="s">
        <v>684</v>
      </c>
      <c r="D26" s="919" t="s">
        <v>685</v>
      </c>
      <c r="E26" s="1456"/>
      <c r="F26" s="1340"/>
      <c r="G26" s="1340"/>
      <c r="H26" s="1340"/>
      <c r="I26" s="1340"/>
      <c r="J26" s="1340"/>
      <c r="K26" s="1340"/>
      <c r="L26" s="1340"/>
      <c r="M26" s="1340"/>
      <c r="N26" s="1340"/>
      <c r="O26" s="1340"/>
      <c r="P26" s="1340"/>
      <c r="Q26" s="1340"/>
      <c r="R26" s="1340"/>
      <c r="S26" s="1340"/>
      <c r="T26" s="729">
        <f t="shared" si="2"/>
        <v>0</v>
      </c>
      <c r="U26" s="729">
        <f t="shared" si="3"/>
        <v>0</v>
      </c>
    </row>
    <row r="27" spans="1:21">
      <c r="A27" s="40"/>
      <c r="B27" s="40"/>
      <c r="C27" s="40"/>
      <c r="D27" s="40"/>
      <c r="E27" s="40"/>
      <c r="T27">
        <f t="shared" si="2"/>
        <v>0</v>
      </c>
      <c r="U27">
        <f t="shared" si="3"/>
        <v>0</v>
      </c>
    </row>
    <row r="28" spans="1:21" ht="15.75" customHeight="1">
      <c r="A28" s="1461" t="s">
        <v>688</v>
      </c>
      <c r="B28" s="1462"/>
      <c r="C28" s="1462"/>
      <c r="D28" s="1462"/>
      <c r="E28" s="918"/>
      <c r="F28" s="743">
        <f>SUM(F6:F27)</f>
        <v>0</v>
      </c>
      <c r="G28" s="743">
        <f>SUM(G6:G26)</f>
        <v>0</v>
      </c>
      <c r="H28" s="743">
        <f t="shared" ref="H28" si="4">SUM(H6:H27)</f>
        <v>0</v>
      </c>
      <c r="I28" s="743">
        <f t="shared" ref="I28" si="5">SUM(I6:I26)</f>
        <v>0</v>
      </c>
      <c r="J28" s="743">
        <f t="shared" ref="J28" si="6">SUM(J6:J27)</f>
        <v>0</v>
      </c>
      <c r="K28" s="743">
        <f t="shared" ref="K28" si="7">SUM(K6:K26)</f>
        <v>0</v>
      </c>
      <c r="L28" s="743">
        <f t="shared" ref="L28" si="8">SUM(L6:L27)</f>
        <v>0</v>
      </c>
      <c r="M28" s="743">
        <f t="shared" ref="M28" si="9">SUM(M6:M26)</f>
        <v>0</v>
      </c>
      <c r="N28" s="743">
        <f t="shared" ref="N28" si="10">SUM(N6:N27)</f>
        <v>0</v>
      </c>
      <c r="O28" s="743">
        <f t="shared" ref="O28" si="11">SUM(O6:O26)</f>
        <v>0</v>
      </c>
      <c r="P28" s="743">
        <f t="shared" ref="P28" si="12">SUM(P6:P27)</f>
        <v>0</v>
      </c>
      <c r="Q28" s="743">
        <f t="shared" ref="Q28" si="13">SUM(Q6:Q26)</f>
        <v>0</v>
      </c>
      <c r="R28" s="743">
        <f t="shared" ref="R28" si="14">SUM(R6:R27)</f>
        <v>0</v>
      </c>
      <c r="S28" s="743">
        <f t="shared" ref="S28" si="15">SUM(S6:S26)</f>
        <v>0</v>
      </c>
      <c r="T28" s="743">
        <f t="shared" ref="T28" si="16">SUM(T6:T27)</f>
        <v>0</v>
      </c>
      <c r="U28" s="743">
        <f t="shared" ref="U28" si="17">SUM(U6:U26)</f>
        <v>0</v>
      </c>
    </row>
    <row r="29" spans="1:21">
      <c r="C29" s="30"/>
      <c r="D29" s="30"/>
      <c r="E29" s="30"/>
      <c r="F29" s="30"/>
      <c r="G29" s="760"/>
      <c r="H29" s="30"/>
      <c r="I29" s="760"/>
      <c r="J29" s="30"/>
      <c r="K29" s="760"/>
      <c r="L29" s="30"/>
      <c r="M29" s="760"/>
      <c r="N29" s="30"/>
      <c r="O29" s="760"/>
      <c r="P29" s="30"/>
      <c r="Q29" s="760"/>
      <c r="R29" s="30"/>
      <c r="S29" s="760"/>
      <c r="T29" s="30"/>
    </row>
  </sheetData>
  <sheetProtection password="8B2B" sheet="1" objects="1" scenarios="1" formatCells="0" formatColumns="0" formatRows="0"/>
  <mergeCells count="14">
    <mergeCell ref="E6:E16"/>
    <mergeCell ref="B5:C5"/>
    <mergeCell ref="A1:D1"/>
    <mergeCell ref="A28:D28"/>
    <mergeCell ref="P3:Q3"/>
    <mergeCell ref="E18:E26"/>
    <mergeCell ref="A2:D2"/>
    <mergeCell ref="T3:U3"/>
    <mergeCell ref="F3:G3"/>
    <mergeCell ref="H3:I3"/>
    <mergeCell ref="J3:K3"/>
    <mergeCell ref="L3:M3"/>
    <mergeCell ref="N3:O3"/>
    <mergeCell ref="R3:S3"/>
  </mergeCells>
  <pageMargins left="0.25" right="0.25" top="0.75" bottom="0.75" header="0.3" footer="0.3"/>
  <pageSetup paperSize="8"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S33"/>
  <sheetViews>
    <sheetView zoomScale="75" zoomScaleNormal="75" workbookViewId="0">
      <selection activeCell="D6" sqref="D6"/>
    </sheetView>
  </sheetViews>
  <sheetFormatPr baseColWidth="10" defaultRowHeight="12.75"/>
  <cols>
    <col min="2" max="2" width="6.140625" customWidth="1"/>
    <col min="3" max="3" width="45.7109375" customWidth="1"/>
    <col min="5" max="5" width="12.85546875" bestFit="1" customWidth="1"/>
  </cols>
  <sheetData>
    <row r="1" spans="1:19" ht="36.75" customHeight="1">
      <c r="A1" s="1467" t="s">
        <v>1334</v>
      </c>
      <c r="B1" s="1467"/>
      <c r="C1" s="1467"/>
      <c r="D1" s="1467"/>
      <c r="E1" s="1467"/>
    </row>
    <row r="2" spans="1:19" ht="18">
      <c r="A2" s="1468">
        <f>'allg. Infos'!B3</f>
        <v>0</v>
      </c>
      <c r="B2" s="1468"/>
      <c r="C2" s="1468"/>
      <c r="D2" s="1468"/>
      <c r="E2" s="1468"/>
    </row>
    <row r="3" spans="1:19" ht="22.5" customHeight="1">
      <c r="A3" s="1037" t="s">
        <v>622</v>
      </c>
      <c r="B3" s="917" t="s">
        <v>623</v>
      </c>
      <c r="C3" s="1037" t="s">
        <v>173</v>
      </c>
      <c r="D3" s="1454" t="s">
        <v>92</v>
      </c>
      <c r="E3" s="1454"/>
      <c r="F3" s="1454" t="s">
        <v>79</v>
      </c>
      <c r="G3" s="1454"/>
      <c r="H3" s="1454" t="s">
        <v>12</v>
      </c>
      <c r="I3" s="1454"/>
      <c r="J3" s="1454" t="s">
        <v>80</v>
      </c>
      <c r="K3" s="1454"/>
      <c r="L3" s="1454" t="s">
        <v>128</v>
      </c>
      <c r="M3" s="1454"/>
      <c r="N3" s="1454" t="s">
        <v>539</v>
      </c>
      <c r="O3" s="1454"/>
      <c r="P3" s="1454" t="s">
        <v>540</v>
      </c>
      <c r="Q3" s="1454"/>
      <c r="R3" s="1454" t="s">
        <v>84</v>
      </c>
      <c r="S3" s="1455"/>
    </row>
    <row r="4" spans="1:19">
      <c r="A4" s="1037">
        <v>1</v>
      </c>
      <c r="B4" s="916">
        <v>2</v>
      </c>
      <c r="C4" s="1037">
        <v>3</v>
      </c>
      <c r="D4" s="304" t="s">
        <v>174</v>
      </c>
      <c r="E4" s="305" t="s">
        <v>175</v>
      </c>
      <c r="F4" s="304" t="s">
        <v>174</v>
      </c>
      <c r="G4" s="305" t="s">
        <v>175</v>
      </c>
      <c r="H4" s="304" t="s">
        <v>174</v>
      </c>
      <c r="I4" s="305" t="s">
        <v>175</v>
      </c>
      <c r="J4" s="304" t="s">
        <v>174</v>
      </c>
      <c r="K4" s="305" t="s">
        <v>175</v>
      </c>
      <c r="L4" s="304" t="s">
        <v>174</v>
      </c>
      <c r="M4" s="305" t="s">
        <v>175</v>
      </c>
      <c r="N4" s="304" t="s">
        <v>174</v>
      </c>
      <c r="O4" s="305" t="s">
        <v>175</v>
      </c>
      <c r="P4" s="304" t="s">
        <v>174</v>
      </c>
      <c r="Q4" s="305" t="s">
        <v>175</v>
      </c>
      <c r="R4" s="304" t="s">
        <v>174</v>
      </c>
      <c r="S4" s="531" t="s">
        <v>175</v>
      </c>
    </row>
    <row r="5" spans="1:19">
      <c r="A5" s="1465" t="s">
        <v>624</v>
      </c>
      <c r="B5" s="1466"/>
      <c r="C5" s="1466"/>
      <c r="D5" s="733"/>
      <c r="E5" s="835"/>
      <c r="F5" s="733"/>
      <c r="G5" s="835"/>
      <c r="H5" s="733"/>
      <c r="I5" s="835"/>
      <c r="J5" s="733"/>
      <c r="K5" s="835"/>
      <c r="L5" s="733"/>
      <c r="M5" s="835"/>
      <c r="N5" s="733"/>
      <c r="O5" s="835"/>
      <c r="P5" s="733"/>
      <c r="Q5" s="835"/>
      <c r="R5" s="733"/>
      <c r="S5" s="835"/>
    </row>
    <row r="6" spans="1:19">
      <c r="A6" s="736" t="s">
        <v>625</v>
      </c>
      <c r="B6" s="737" t="s">
        <v>626</v>
      </c>
      <c r="C6" s="738" t="s">
        <v>627</v>
      </c>
      <c r="D6" s="1340"/>
      <c r="E6" s="1350"/>
      <c r="F6" s="1340"/>
      <c r="G6" s="1350"/>
      <c r="H6" s="1340"/>
      <c r="I6" s="1350"/>
      <c r="J6" s="1340"/>
      <c r="K6" s="1350"/>
      <c r="L6" s="1340"/>
      <c r="M6" s="1350"/>
      <c r="N6" s="1340"/>
      <c r="O6" s="1350"/>
      <c r="P6" s="1340"/>
      <c r="Q6" s="1350"/>
      <c r="R6" s="732">
        <f>D6+F6+H6+J6+L6+N6+P6</f>
        <v>0</v>
      </c>
      <c r="S6" s="961">
        <f>E6+G6+I6+K6+M6+O6+Q6</f>
        <v>0</v>
      </c>
    </row>
    <row r="7" spans="1:19">
      <c r="A7" s="736" t="s">
        <v>628</v>
      </c>
      <c r="B7" s="737" t="s">
        <v>626</v>
      </c>
      <c r="C7" s="738" t="s">
        <v>629</v>
      </c>
      <c r="D7" s="1340"/>
      <c r="E7" s="1350"/>
      <c r="F7" s="1340"/>
      <c r="G7" s="1350"/>
      <c r="H7" s="1340"/>
      <c r="I7" s="1350"/>
      <c r="J7" s="1340"/>
      <c r="K7" s="1350"/>
      <c r="L7" s="1340"/>
      <c r="M7" s="1350"/>
      <c r="N7" s="1340"/>
      <c r="O7" s="1350"/>
      <c r="P7" s="1340"/>
      <c r="Q7" s="1350"/>
      <c r="R7" s="732">
        <f t="shared" ref="R7:S8" si="0">D7+F7+H7+J7+L7+N7+P7</f>
        <v>0</v>
      </c>
      <c r="S7" s="961">
        <f t="shared" si="0"/>
        <v>0</v>
      </c>
    </row>
    <row r="8" spans="1:19" ht="24">
      <c r="A8" s="736" t="s">
        <v>630</v>
      </c>
      <c r="B8" s="737" t="s">
        <v>631</v>
      </c>
      <c r="C8" s="738" t="s">
        <v>632</v>
      </c>
      <c r="D8" s="1340"/>
      <c r="E8" s="1350"/>
      <c r="F8" s="1340"/>
      <c r="G8" s="1350"/>
      <c r="H8" s="1340"/>
      <c r="I8" s="1350"/>
      <c r="J8" s="1340"/>
      <c r="K8" s="1350"/>
      <c r="L8" s="1340"/>
      <c r="M8" s="1350"/>
      <c r="N8" s="1340"/>
      <c r="O8" s="1350"/>
      <c r="P8" s="1340"/>
      <c r="Q8" s="1350"/>
      <c r="R8" s="732">
        <f t="shared" si="0"/>
        <v>0</v>
      </c>
      <c r="S8" s="961">
        <f t="shared" si="0"/>
        <v>0</v>
      </c>
    </row>
    <row r="9" spans="1:19">
      <c r="A9" s="1465" t="s">
        <v>633</v>
      </c>
      <c r="B9" s="1466"/>
      <c r="C9" s="1466"/>
      <c r="D9" s="733"/>
      <c r="E9" s="835"/>
      <c r="F9" s="733"/>
      <c r="G9" s="835"/>
      <c r="H9" s="733"/>
      <c r="I9" s="835"/>
      <c r="J9" s="733"/>
      <c r="K9" s="835"/>
      <c r="L9" s="733"/>
      <c r="M9" s="835"/>
      <c r="N9" s="733"/>
      <c r="O9" s="835"/>
      <c r="P9" s="733"/>
      <c r="Q9" s="835"/>
      <c r="R9" s="733"/>
      <c r="S9" s="835"/>
    </row>
    <row r="10" spans="1:19" ht="48">
      <c r="A10" s="736" t="s">
        <v>634</v>
      </c>
      <c r="B10" s="737" t="s">
        <v>626</v>
      </c>
      <c r="C10" s="738" t="s">
        <v>635</v>
      </c>
      <c r="D10" s="1340"/>
      <c r="E10" s="1350"/>
      <c r="F10" s="1340"/>
      <c r="G10" s="1350"/>
      <c r="H10" s="1340"/>
      <c r="I10" s="1350"/>
      <c r="J10" s="1340"/>
      <c r="K10" s="1350"/>
      <c r="L10" s="1340"/>
      <c r="M10" s="1350"/>
      <c r="N10" s="1340"/>
      <c r="O10" s="1350"/>
      <c r="P10" s="1340"/>
      <c r="Q10" s="1350"/>
      <c r="R10" s="732">
        <f t="shared" ref="R10:R30" si="1">D10+F10+H10+J10+L10+N10+P10</f>
        <v>0</v>
      </c>
      <c r="S10" s="961">
        <f t="shared" ref="S10:S30" si="2">E10+G10+I10+K10+M10+O10+Q10</f>
        <v>0</v>
      </c>
    </row>
    <row r="11" spans="1:19" ht="24">
      <c r="A11" s="736" t="s">
        <v>636</v>
      </c>
      <c r="B11" s="737" t="s">
        <v>631</v>
      </c>
      <c r="C11" s="738" t="s">
        <v>637</v>
      </c>
      <c r="D11" s="1340"/>
      <c r="E11" s="1350"/>
      <c r="F11" s="1340"/>
      <c r="G11" s="1350"/>
      <c r="H11" s="1340"/>
      <c r="I11" s="1350"/>
      <c r="J11" s="1340"/>
      <c r="K11" s="1350"/>
      <c r="L11" s="1340"/>
      <c r="M11" s="1350"/>
      <c r="N11" s="1340"/>
      <c r="O11" s="1350"/>
      <c r="P11" s="1340"/>
      <c r="Q11" s="1350"/>
      <c r="R11" s="732">
        <f t="shared" si="1"/>
        <v>0</v>
      </c>
      <c r="S11" s="961">
        <f t="shared" si="2"/>
        <v>0</v>
      </c>
    </row>
    <row r="12" spans="1:19">
      <c r="A12" s="1465" t="s">
        <v>638</v>
      </c>
      <c r="B12" s="1466"/>
      <c r="C12" s="1466"/>
      <c r="D12" s="733"/>
      <c r="E12" s="835"/>
      <c r="F12" s="733"/>
      <c r="G12" s="835"/>
      <c r="H12" s="733"/>
      <c r="I12" s="835"/>
      <c r="J12" s="733"/>
      <c r="K12" s="835"/>
      <c r="L12" s="733"/>
      <c r="M12" s="835"/>
      <c r="N12" s="733"/>
      <c r="O12" s="835"/>
      <c r="P12" s="733"/>
      <c r="Q12" s="835"/>
      <c r="R12" s="733"/>
      <c r="S12" s="835"/>
    </row>
    <row r="13" spans="1:19" ht="24">
      <c r="A13" s="736" t="s">
        <v>639</v>
      </c>
      <c r="B13" s="737" t="s">
        <v>631</v>
      </c>
      <c r="C13" s="738" t="s">
        <v>640</v>
      </c>
      <c r="D13" s="1340"/>
      <c r="E13" s="1350"/>
      <c r="F13" s="1340"/>
      <c r="G13" s="1350"/>
      <c r="H13" s="1340"/>
      <c r="I13" s="1350"/>
      <c r="J13" s="1340"/>
      <c r="K13" s="1350"/>
      <c r="L13" s="1340"/>
      <c r="M13" s="1350"/>
      <c r="N13" s="1340"/>
      <c r="O13" s="1350"/>
      <c r="P13" s="1340"/>
      <c r="Q13" s="1350"/>
      <c r="R13" s="732">
        <f t="shared" si="1"/>
        <v>0</v>
      </c>
      <c r="S13" s="961">
        <f t="shared" si="2"/>
        <v>0</v>
      </c>
    </row>
    <row r="14" spans="1:19">
      <c r="A14" s="1465" t="s">
        <v>641</v>
      </c>
      <c r="B14" s="1466"/>
      <c r="C14" s="1466"/>
      <c r="D14" s="733"/>
      <c r="E14" s="835"/>
      <c r="F14" s="733"/>
      <c r="G14" s="835"/>
      <c r="H14" s="733"/>
      <c r="I14" s="835"/>
      <c r="J14" s="733"/>
      <c r="K14" s="835"/>
      <c r="L14" s="733"/>
      <c r="M14" s="835"/>
      <c r="N14" s="733"/>
      <c r="O14" s="835"/>
      <c r="P14" s="733"/>
      <c r="Q14" s="835"/>
      <c r="R14" s="733"/>
      <c r="S14" s="835"/>
    </row>
    <row r="15" spans="1:19" ht="36">
      <c r="A15" s="736" t="s">
        <v>642</v>
      </c>
      <c r="B15" s="737" t="s">
        <v>626</v>
      </c>
      <c r="C15" s="738" t="s">
        <v>643</v>
      </c>
      <c r="D15" s="1340"/>
      <c r="E15" s="1350"/>
      <c r="F15" s="1340"/>
      <c r="G15" s="1350"/>
      <c r="H15" s="1340"/>
      <c r="I15" s="1350"/>
      <c r="J15" s="1340"/>
      <c r="K15" s="1350"/>
      <c r="L15" s="1340"/>
      <c r="M15" s="1350"/>
      <c r="N15" s="1340"/>
      <c r="O15" s="1350"/>
      <c r="P15" s="1340"/>
      <c r="Q15" s="1350"/>
      <c r="R15" s="732">
        <f t="shared" si="1"/>
        <v>0</v>
      </c>
      <c r="S15" s="961">
        <f t="shared" si="2"/>
        <v>0</v>
      </c>
    </row>
    <row r="16" spans="1:19" ht="24">
      <c r="A16" s="736" t="s">
        <v>644</v>
      </c>
      <c r="B16" s="737" t="s">
        <v>631</v>
      </c>
      <c r="C16" s="738" t="s">
        <v>645</v>
      </c>
      <c r="D16" s="1340"/>
      <c r="E16" s="1350"/>
      <c r="F16" s="1340"/>
      <c r="G16" s="1350"/>
      <c r="H16" s="1340"/>
      <c r="I16" s="1350"/>
      <c r="J16" s="1340"/>
      <c r="K16" s="1350"/>
      <c r="L16" s="1340"/>
      <c r="M16" s="1350"/>
      <c r="N16" s="1340"/>
      <c r="O16" s="1350"/>
      <c r="P16" s="1340"/>
      <c r="Q16" s="1350"/>
      <c r="R16" s="732">
        <f t="shared" si="1"/>
        <v>0</v>
      </c>
      <c r="S16" s="961">
        <f t="shared" si="2"/>
        <v>0</v>
      </c>
    </row>
    <row r="17" spans="1:19">
      <c r="A17" s="1465" t="s">
        <v>646</v>
      </c>
      <c r="B17" s="1466"/>
      <c r="C17" s="1466"/>
      <c r="D17" s="733"/>
      <c r="E17" s="835"/>
      <c r="F17" s="733"/>
      <c r="G17" s="835"/>
      <c r="H17" s="733"/>
      <c r="I17" s="835"/>
      <c r="J17" s="733"/>
      <c r="K17" s="835"/>
      <c r="L17" s="733"/>
      <c r="M17" s="835"/>
      <c r="N17" s="733"/>
      <c r="O17" s="835"/>
      <c r="P17" s="733"/>
      <c r="Q17" s="835"/>
      <c r="R17" s="733"/>
      <c r="S17" s="835"/>
    </row>
    <row r="18" spans="1:19" ht="24">
      <c r="A18" s="736" t="s">
        <v>647</v>
      </c>
      <c r="B18" s="737" t="s">
        <v>631</v>
      </c>
      <c r="C18" s="738" t="s">
        <v>648</v>
      </c>
      <c r="D18" s="1340"/>
      <c r="E18" s="1350"/>
      <c r="F18" s="1340"/>
      <c r="G18" s="1350"/>
      <c r="H18" s="1340"/>
      <c r="I18" s="1350"/>
      <c r="J18" s="1340"/>
      <c r="K18" s="1350"/>
      <c r="L18" s="1340"/>
      <c r="M18" s="1350"/>
      <c r="N18" s="1340"/>
      <c r="O18" s="1350"/>
      <c r="P18" s="1340"/>
      <c r="Q18" s="1350"/>
      <c r="R18" s="732">
        <f t="shared" si="1"/>
        <v>0</v>
      </c>
      <c r="S18" s="961">
        <f t="shared" si="2"/>
        <v>0</v>
      </c>
    </row>
    <row r="19" spans="1:19">
      <c r="A19" s="1465" t="s">
        <v>649</v>
      </c>
      <c r="B19" s="1466"/>
      <c r="C19" s="1466"/>
      <c r="D19" s="733"/>
      <c r="E19" s="835"/>
      <c r="F19" s="733"/>
      <c r="G19" s="835"/>
      <c r="H19" s="733"/>
      <c r="I19" s="835"/>
      <c r="J19" s="733"/>
      <c r="K19" s="835"/>
      <c r="L19" s="733"/>
      <c r="M19" s="835"/>
      <c r="N19" s="733"/>
      <c r="O19" s="835"/>
      <c r="P19" s="733"/>
      <c r="Q19" s="835"/>
      <c r="R19" s="733"/>
      <c r="S19" s="835"/>
    </row>
    <row r="20" spans="1:19" ht="24">
      <c r="A20" s="736" t="s">
        <v>650</v>
      </c>
      <c r="B20" s="737" t="s">
        <v>631</v>
      </c>
      <c r="C20" s="738" t="s">
        <v>651</v>
      </c>
      <c r="D20" s="1340"/>
      <c r="E20" s="1350"/>
      <c r="F20" s="1340"/>
      <c r="G20" s="1350"/>
      <c r="H20" s="1340"/>
      <c r="I20" s="1350"/>
      <c r="J20" s="1340"/>
      <c r="K20" s="1350"/>
      <c r="L20" s="1340"/>
      <c r="M20" s="1350"/>
      <c r="N20" s="1340"/>
      <c r="O20" s="1350"/>
      <c r="P20" s="1340"/>
      <c r="Q20" s="1350"/>
      <c r="R20" s="732">
        <f t="shared" si="1"/>
        <v>0</v>
      </c>
      <c r="S20" s="961">
        <f t="shared" si="2"/>
        <v>0</v>
      </c>
    </row>
    <row r="21" spans="1:19" ht="36">
      <c r="A21" s="736" t="s">
        <v>652</v>
      </c>
      <c r="B21" s="737" t="s">
        <v>626</v>
      </c>
      <c r="C21" s="738" t="s">
        <v>653</v>
      </c>
      <c r="D21" s="1340"/>
      <c r="E21" s="1350"/>
      <c r="F21" s="1340"/>
      <c r="G21" s="1350"/>
      <c r="H21" s="1340"/>
      <c r="I21" s="1350"/>
      <c r="J21" s="1340"/>
      <c r="K21" s="1350"/>
      <c r="L21" s="1340"/>
      <c r="M21" s="1350"/>
      <c r="N21" s="1340"/>
      <c r="O21" s="1350"/>
      <c r="P21" s="1340"/>
      <c r="Q21" s="1350"/>
      <c r="R21" s="732">
        <f t="shared" si="1"/>
        <v>0</v>
      </c>
      <c r="S21" s="961">
        <f t="shared" si="2"/>
        <v>0</v>
      </c>
    </row>
    <row r="22" spans="1:19">
      <c r="A22" s="1465" t="s">
        <v>654</v>
      </c>
      <c r="B22" s="1466"/>
      <c r="C22" s="1466"/>
      <c r="D22" s="733"/>
      <c r="E22" s="835"/>
      <c r="F22" s="733"/>
      <c r="G22" s="835"/>
      <c r="H22" s="733"/>
      <c r="I22" s="835"/>
      <c r="J22" s="733"/>
      <c r="K22" s="835"/>
      <c r="L22" s="733"/>
      <c r="M22" s="835"/>
      <c r="N22" s="733"/>
      <c r="O22" s="835"/>
      <c r="P22" s="733"/>
      <c r="Q22" s="835"/>
      <c r="R22" s="733"/>
      <c r="S22" s="835"/>
    </row>
    <row r="23" spans="1:19" ht="36">
      <c r="A23" s="736" t="s">
        <v>655</v>
      </c>
      <c r="B23" s="737" t="s">
        <v>626</v>
      </c>
      <c r="C23" s="738" t="s">
        <v>656</v>
      </c>
      <c r="D23" s="1340"/>
      <c r="E23" s="1350"/>
      <c r="F23" s="1340"/>
      <c r="G23" s="1350"/>
      <c r="H23" s="1340"/>
      <c r="I23" s="1350"/>
      <c r="J23" s="1340"/>
      <c r="K23" s="1350"/>
      <c r="L23" s="1340"/>
      <c r="M23" s="1350"/>
      <c r="N23" s="1340"/>
      <c r="O23" s="1350"/>
      <c r="P23" s="1340"/>
      <c r="Q23" s="1350"/>
      <c r="R23" s="732">
        <f t="shared" si="1"/>
        <v>0</v>
      </c>
      <c r="S23" s="961">
        <f t="shared" si="2"/>
        <v>0</v>
      </c>
    </row>
    <row r="24" spans="1:19" ht="24">
      <c r="A24" s="736" t="s">
        <v>657</v>
      </c>
      <c r="B24" s="737" t="s">
        <v>631</v>
      </c>
      <c r="C24" s="738" t="s">
        <v>658</v>
      </c>
      <c r="D24" s="1340"/>
      <c r="E24" s="1350"/>
      <c r="F24" s="1340"/>
      <c r="G24" s="1350"/>
      <c r="H24" s="1340"/>
      <c r="I24" s="1350"/>
      <c r="J24" s="1340"/>
      <c r="K24" s="1350"/>
      <c r="L24" s="1340"/>
      <c r="M24" s="1350"/>
      <c r="N24" s="1340"/>
      <c r="O24" s="1350"/>
      <c r="P24" s="1340"/>
      <c r="Q24" s="1350"/>
      <c r="R24" s="732">
        <f t="shared" si="1"/>
        <v>0</v>
      </c>
      <c r="S24" s="961">
        <f t="shared" si="2"/>
        <v>0</v>
      </c>
    </row>
    <row r="25" spans="1:19">
      <c r="A25" s="1465" t="s">
        <v>659</v>
      </c>
      <c r="B25" s="1466"/>
      <c r="C25" s="1466"/>
      <c r="D25" s="733"/>
      <c r="E25" s="835"/>
      <c r="F25" s="733"/>
      <c r="G25" s="835"/>
      <c r="H25" s="733"/>
      <c r="I25" s="835"/>
      <c r="J25" s="733"/>
      <c r="K25" s="835"/>
      <c r="L25" s="733"/>
      <c r="M25" s="835"/>
      <c r="N25" s="733"/>
      <c r="O25" s="835"/>
      <c r="P25" s="733"/>
      <c r="Q25" s="835"/>
      <c r="R25" s="733"/>
      <c r="S25" s="835"/>
    </row>
    <row r="26" spans="1:19" ht="36">
      <c r="A26" s="736" t="s">
        <v>660</v>
      </c>
      <c r="B26" s="737" t="s">
        <v>626</v>
      </c>
      <c r="C26" s="738" t="s">
        <v>661</v>
      </c>
      <c r="D26" s="1340"/>
      <c r="E26" s="1350"/>
      <c r="F26" s="1340"/>
      <c r="G26" s="1350"/>
      <c r="H26" s="1340"/>
      <c r="I26" s="1350"/>
      <c r="J26" s="1340"/>
      <c r="K26" s="1350"/>
      <c r="L26" s="1340"/>
      <c r="M26" s="1350"/>
      <c r="N26" s="1340"/>
      <c r="O26" s="1350"/>
      <c r="P26" s="1340"/>
      <c r="Q26" s="1350"/>
      <c r="R26" s="732">
        <f t="shared" si="1"/>
        <v>0</v>
      </c>
      <c r="S26" s="961">
        <f t="shared" si="2"/>
        <v>0</v>
      </c>
    </row>
    <row r="27" spans="1:19">
      <c r="A27" s="736" t="s">
        <v>662</v>
      </c>
      <c r="B27" s="737" t="s">
        <v>626</v>
      </c>
      <c r="C27" s="738" t="s">
        <v>663</v>
      </c>
      <c r="D27" s="1340"/>
      <c r="E27" s="1350"/>
      <c r="F27" s="1340"/>
      <c r="G27" s="1350"/>
      <c r="H27" s="1340"/>
      <c r="I27" s="1350"/>
      <c r="J27" s="1340"/>
      <c r="K27" s="1350"/>
      <c r="L27" s="1340"/>
      <c r="M27" s="1350"/>
      <c r="N27" s="1340"/>
      <c r="O27" s="1350"/>
      <c r="P27" s="1340"/>
      <c r="Q27" s="1350"/>
      <c r="R27" s="732">
        <f t="shared" si="1"/>
        <v>0</v>
      </c>
      <c r="S27" s="961">
        <f t="shared" si="2"/>
        <v>0</v>
      </c>
    </row>
    <row r="28" spans="1:19">
      <c r="A28" s="736" t="s">
        <v>664</v>
      </c>
      <c r="B28" s="737" t="s">
        <v>631</v>
      </c>
      <c r="C28" s="738" t="s">
        <v>665</v>
      </c>
      <c r="D28" s="1340"/>
      <c r="E28" s="1350"/>
      <c r="F28" s="1340"/>
      <c r="G28" s="1350"/>
      <c r="H28" s="1340"/>
      <c r="I28" s="1350"/>
      <c r="J28" s="1340"/>
      <c r="K28" s="1350"/>
      <c r="L28" s="1340"/>
      <c r="M28" s="1350"/>
      <c r="N28" s="1340"/>
      <c r="O28" s="1350"/>
      <c r="P28" s="1340"/>
      <c r="Q28" s="1350"/>
      <c r="R28" s="732">
        <f t="shared" si="1"/>
        <v>0</v>
      </c>
      <c r="S28" s="961">
        <f t="shared" si="2"/>
        <v>0</v>
      </c>
    </row>
    <row r="29" spans="1:19">
      <c r="A29" s="1465" t="s">
        <v>666</v>
      </c>
      <c r="B29" s="1466"/>
      <c r="C29" s="1466"/>
      <c r="D29" s="733"/>
      <c r="E29" s="835"/>
      <c r="F29" s="733"/>
      <c r="G29" s="835"/>
      <c r="H29" s="733"/>
      <c r="I29" s="835"/>
      <c r="J29" s="733"/>
      <c r="K29" s="835"/>
      <c r="L29" s="733"/>
      <c r="M29" s="835"/>
      <c r="N29" s="733"/>
      <c r="O29" s="835"/>
      <c r="P29" s="733"/>
      <c r="Q29" s="835"/>
      <c r="R29" s="733"/>
      <c r="S29" s="835"/>
    </row>
    <row r="30" spans="1:19" ht="13.5" thickBot="1">
      <c r="A30" s="739" t="s">
        <v>667</v>
      </c>
      <c r="B30" s="740" t="s">
        <v>626</v>
      </c>
      <c r="C30" s="741" t="s">
        <v>668</v>
      </c>
      <c r="D30" s="1340"/>
      <c r="E30" s="1350"/>
      <c r="F30" s="1340"/>
      <c r="G30" s="1350"/>
      <c r="H30" s="1340"/>
      <c r="I30" s="1350"/>
      <c r="J30" s="1340"/>
      <c r="K30" s="1350"/>
      <c r="L30" s="1340"/>
      <c r="M30" s="1350"/>
      <c r="N30" s="1340"/>
      <c r="O30" s="1350"/>
      <c r="P30" s="1340"/>
      <c r="Q30" s="1350"/>
      <c r="R30" s="732">
        <f t="shared" si="1"/>
        <v>0</v>
      </c>
      <c r="S30" s="961">
        <f t="shared" si="2"/>
        <v>0</v>
      </c>
    </row>
    <row r="31" spans="1:19">
      <c r="E31" s="836"/>
      <c r="G31" s="836"/>
      <c r="I31" s="836"/>
      <c r="K31" s="836"/>
      <c r="M31" s="836"/>
      <c r="O31" s="836"/>
      <c r="Q31" s="836"/>
      <c r="S31" s="836"/>
    </row>
    <row r="32" spans="1:19" ht="15.75" customHeight="1">
      <c r="A32" s="1461" t="s">
        <v>687</v>
      </c>
      <c r="B32" s="1462"/>
      <c r="C32" s="1462"/>
      <c r="D32" s="734"/>
      <c r="E32" s="837">
        <f>SUM(E6:E30)</f>
        <v>0</v>
      </c>
      <c r="F32" s="734"/>
      <c r="G32" s="837">
        <f>SUM(G6:G30)</f>
        <v>0</v>
      </c>
      <c r="H32" s="734"/>
      <c r="I32" s="837">
        <f>SUM(I6:I30)</f>
        <v>0</v>
      </c>
      <c r="J32" s="734"/>
      <c r="K32" s="837">
        <f>SUM(K6:K30)</f>
        <v>0</v>
      </c>
      <c r="L32" s="734"/>
      <c r="M32" s="837">
        <f>SUM(M6:M30)</f>
        <v>0</v>
      </c>
      <c r="N32" s="734"/>
      <c r="O32" s="837">
        <f>SUM(O6:O30)</f>
        <v>0</v>
      </c>
      <c r="P32" s="734"/>
      <c r="Q32" s="837">
        <f>SUM(Q6:Q30)</f>
        <v>0</v>
      </c>
      <c r="R32" s="735">
        <f>SUM(R6:R30)</f>
        <v>0</v>
      </c>
      <c r="S32" s="837">
        <f>SUM(S6:S30)</f>
        <v>0</v>
      </c>
    </row>
    <row r="33" spans="3:18">
      <c r="C33" s="30"/>
      <c r="D33" s="30"/>
      <c r="E33" s="760"/>
      <c r="F33" s="30"/>
      <c r="G33" s="760"/>
      <c r="H33" s="30"/>
      <c r="I33" s="760"/>
      <c r="J33" s="30"/>
      <c r="K33" s="760"/>
      <c r="L33" s="30"/>
      <c r="M33" s="760"/>
      <c r="N33" s="30"/>
      <c r="O33" s="760"/>
      <c r="P33" s="30"/>
      <c r="Q33" s="760"/>
      <c r="R33" s="30"/>
    </row>
  </sheetData>
  <sheetProtection password="8B2B" sheet="1" objects="1" scenarios="1" formatCells="0" formatColumns="0" formatRows="0"/>
  <mergeCells count="20">
    <mergeCell ref="A1:E1"/>
    <mergeCell ref="A25:C25"/>
    <mergeCell ref="A29:C29"/>
    <mergeCell ref="D3:E3"/>
    <mergeCell ref="A12:C12"/>
    <mergeCell ref="A14:C14"/>
    <mergeCell ref="A9:C9"/>
    <mergeCell ref="A2:E2"/>
    <mergeCell ref="A32:C32"/>
    <mergeCell ref="A17:C17"/>
    <mergeCell ref="A19:C19"/>
    <mergeCell ref="A22:C22"/>
    <mergeCell ref="A5:C5"/>
    <mergeCell ref="R3:S3"/>
    <mergeCell ref="F3:G3"/>
    <mergeCell ref="H3:I3"/>
    <mergeCell ref="L3:M3"/>
    <mergeCell ref="N3:O3"/>
    <mergeCell ref="P3:Q3"/>
    <mergeCell ref="J3:K3"/>
  </mergeCells>
  <pageMargins left="0.25" right="0.25" top="0.75" bottom="0.75" header="0.3" footer="0.3"/>
  <pageSetup paperSize="8" scale="8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tabColor rgb="FF00B050"/>
    <pageSetUpPr fitToPage="1"/>
  </sheetPr>
  <dimension ref="A1:I39"/>
  <sheetViews>
    <sheetView showGridLines="0" zoomScale="80" zoomScaleNormal="80" workbookViewId="0">
      <selection activeCell="A43" sqref="A43"/>
    </sheetView>
  </sheetViews>
  <sheetFormatPr baseColWidth="10" defaultColWidth="11.42578125" defaultRowHeight="12.75"/>
  <cols>
    <col min="1" max="1" width="69.28515625" style="180" bestFit="1" customWidth="1"/>
    <col min="2" max="2" width="24.140625" style="180" bestFit="1" customWidth="1"/>
    <col min="3" max="3" width="24.28515625" style="180" customWidth="1"/>
    <col min="4" max="4" width="35" style="180" customWidth="1"/>
    <col min="5" max="5" width="41.42578125" style="180" bestFit="1" customWidth="1"/>
    <col min="6" max="6" width="24.28515625" style="180" customWidth="1"/>
    <col min="7" max="7" width="16.42578125" style="180" customWidth="1"/>
    <col min="8" max="8" width="23.5703125" style="180" bestFit="1" customWidth="1"/>
    <col min="9" max="9" width="49.85546875" style="180" customWidth="1"/>
    <col min="10" max="10" width="13.42578125" style="180" bestFit="1" customWidth="1"/>
    <col min="11" max="11" width="11.42578125" style="180"/>
    <col min="12" max="12" width="13.42578125" style="180" bestFit="1" customWidth="1"/>
    <col min="13" max="13" width="14.42578125" style="180" customWidth="1"/>
    <col min="14" max="14" width="11.42578125" style="180"/>
    <col min="15" max="15" width="13.42578125" style="180" bestFit="1" customWidth="1"/>
    <col min="16" max="16384" width="11.42578125" style="180"/>
  </cols>
  <sheetData>
    <row r="1" spans="1:8" ht="18">
      <c r="A1" s="865" t="s">
        <v>495</v>
      </c>
      <c r="B1" s="941">
        <f>'allg. Infos'!B3</f>
        <v>0</v>
      </c>
      <c r="D1" s="866"/>
      <c r="E1" s="866"/>
      <c r="F1" s="866"/>
      <c r="G1" s="866"/>
    </row>
    <row r="2" spans="1:8" ht="18">
      <c r="A2" s="865"/>
      <c r="B2" s="866"/>
      <c r="C2" s="866"/>
      <c r="D2" s="866"/>
      <c r="E2" s="866"/>
      <c r="F2" s="866"/>
      <c r="G2" s="866"/>
    </row>
    <row r="3" spans="1:8">
      <c r="A3" s="523" t="s">
        <v>531</v>
      </c>
      <c r="B3" s="489" t="s">
        <v>471</v>
      </c>
      <c r="C3" s="507"/>
      <c r="D3" s="489" t="s">
        <v>472</v>
      </c>
      <c r="E3" s="489"/>
      <c r="F3" s="507"/>
      <c r="G3" s="1469" t="s">
        <v>500</v>
      </c>
      <c r="H3" s="1470"/>
    </row>
    <row r="4" spans="1:8">
      <c r="A4" s="487" t="s">
        <v>526</v>
      </c>
      <c r="B4" s="488" t="s">
        <v>473</v>
      </c>
      <c r="C4" s="508" t="s">
        <v>147</v>
      </c>
      <c r="D4" s="500" t="s">
        <v>474</v>
      </c>
      <c r="E4" s="794" t="s">
        <v>475</v>
      </c>
      <c r="F4" s="508" t="s">
        <v>147</v>
      </c>
      <c r="G4" s="516" t="s">
        <v>499</v>
      </c>
      <c r="H4" s="516" t="s">
        <v>467</v>
      </c>
    </row>
    <row r="5" spans="1:8" ht="38.25">
      <c r="A5" s="482" t="s">
        <v>476</v>
      </c>
      <c r="B5" s="480" t="s">
        <v>477</v>
      </c>
      <c r="C5" s="1341"/>
      <c r="D5" s="501" t="s">
        <v>502</v>
      </c>
      <c r="E5" s="885" t="s">
        <v>478</v>
      </c>
      <c r="F5" s="940">
        <f>+'ITAR_K Gesamtansicht'!C8+'ITAR_K Gesamtansicht'!C9</f>
        <v>0</v>
      </c>
      <c r="G5" s="1031">
        <f>+C5-F5</f>
        <v>0</v>
      </c>
      <c r="H5" s="1033" t="str">
        <f>IF(G5&lt;-499,"Abweichung, bitte prüfen",IF(G5&gt;499,"Abweichung, bitte prüfen","O.K."))</f>
        <v>O.K.</v>
      </c>
    </row>
    <row r="6" spans="1:8">
      <c r="A6" s="483" t="s">
        <v>496</v>
      </c>
      <c r="B6" s="479" t="s">
        <v>479</v>
      </c>
      <c r="C6" s="1342"/>
      <c r="D6" s="502" t="s">
        <v>496</v>
      </c>
      <c r="E6" s="884" t="s">
        <v>480</v>
      </c>
      <c r="F6" s="510">
        <f>+'ITAR_K Gesamtansicht'!C10</f>
        <v>0</v>
      </c>
      <c r="G6" s="517">
        <f>+C6-F6</f>
        <v>0</v>
      </c>
      <c r="H6" s="527" t="str">
        <f t="shared" ref="H6:H38" si="0">IF(G6&lt;-499,"Abweichung, bitte prüfen",IF(G6&gt;499,"Abweichung, bitte prüfen","O.K."))</f>
        <v>O.K.</v>
      </c>
    </row>
    <row r="7" spans="1:8">
      <c r="A7" s="483" t="s">
        <v>497</v>
      </c>
      <c r="B7" s="479" t="s">
        <v>481</v>
      </c>
      <c r="C7" s="1342"/>
      <c r="D7" s="502" t="s">
        <v>497</v>
      </c>
      <c r="E7" s="884" t="s">
        <v>482</v>
      </c>
      <c r="F7" s="510">
        <f>+'ITAR_K Gesamtansicht'!C13</f>
        <v>0</v>
      </c>
      <c r="G7" s="517">
        <f>+C7-F7</f>
        <v>0</v>
      </c>
      <c r="H7" s="527" t="str">
        <f t="shared" si="0"/>
        <v>O.K.</v>
      </c>
    </row>
    <row r="8" spans="1:8">
      <c r="A8" s="481" t="s">
        <v>483</v>
      </c>
      <c r="B8" s="486" t="s">
        <v>484</v>
      </c>
      <c r="C8" s="1343"/>
      <c r="D8" s="503" t="s">
        <v>485</v>
      </c>
      <c r="E8" s="886" t="s">
        <v>486</v>
      </c>
      <c r="F8" s="511">
        <f>+'ITAR_K Gesamtansicht'!C15</f>
        <v>0</v>
      </c>
      <c r="G8" s="518">
        <f>+C8-F8</f>
        <v>0</v>
      </c>
      <c r="H8" s="528" t="str">
        <f t="shared" si="0"/>
        <v>O.K.</v>
      </c>
    </row>
    <row r="9" spans="1:8">
      <c r="A9" s="487" t="s">
        <v>527</v>
      </c>
      <c r="B9" s="488" t="s">
        <v>473</v>
      </c>
      <c r="C9" s="508" t="s">
        <v>147</v>
      </c>
      <c r="D9" s="500" t="s">
        <v>474</v>
      </c>
      <c r="E9" s="794" t="s">
        <v>475</v>
      </c>
      <c r="F9" s="508" t="s">
        <v>147</v>
      </c>
      <c r="G9" s="516" t="s">
        <v>499</v>
      </c>
      <c r="H9" s="524"/>
    </row>
    <row r="10" spans="1:8">
      <c r="A10" s="484" t="s">
        <v>487</v>
      </c>
      <c r="B10" s="1471" t="s">
        <v>501</v>
      </c>
      <c r="C10" s="1472"/>
      <c r="D10" s="1474" t="s">
        <v>498</v>
      </c>
      <c r="E10" s="1475" t="s">
        <v>1443</v>
      </c>
      <c r="F10" s="1476">
        <f>'ITAR_K Gesamtansicht'!D15+'ITAR_K Gesamtansicht'!E16+'ITAR_K Gesamtansicht'!G19+'ITAR_K Gesamtansicht'!H19</f>
        <v>0</v>
      </c>
      <c r="G10" s="1479">
        <f>+C10-F10</f>
        <v>0</v>
      </c>
      <c r="H10" s="1482" t="str">
        <f t="shared" si="0"/>
        <v>O.K.</v>
      </c>
    </row>
    <row r="11" spans="1:8">
      <c r="A11" s="483" t="s">
        <v>488</v>
      </c>
      <c r="B11" s="1471"/>
      <c r="C11" s="1473"/>
      <c r="D11" s="1474"/>
      <c r="E11" s="1475"/>
      <c r="F11" s="1477"/>
      <c r="G11" s="1480"/>
      <c r="H11" s="1483" t="str">
        <f t="shared" si="0"/>
        <v>O.K.</v>
      </c>
    </row>
    <row r="12" spans="1:8">
      <c r="A12" s="483" t="s">
        <v>489</v>
      </c>
      <c r="B12" s="1471"/>
      <c r="C12" s="1473"/>
      <c r="D12" s="1474"/>
      <c r="E12" s="1475"/>
      <c r="F12" s="1477"/>
      <c r="G12" s="1480"/>
      <c r="H12" s="1483" t="str">
        <f t="shared" si="0"/>
        <v>O.K.</v>
      </c>
    </row>
    <row r="13" spans="1:8">
      <c r="A13" s="485" t="s">
        <v>490</v>
      </c>
      <c r="B13" s="1471"/>
      <c r="C13" s="1473"/>
      <c r="D13" s="1474"/>
      <c r="E13" s="1475"/>
      <c r="F13" s="1478"/>
      <c r="G13" s="1481"/>
      <c r="H13" s="1484" t="str">
        <f t="shared" si="0"/>
        <v>O.K.</v>
      </c>
    </row>
    <row r="14" spans="1:8">
      <c r="A14" s="490" t="s">
        <v>621</v>
      </c>
      <c r="B14" s="491" t="s">
        <v>524</v>
      </c>
      <c r="C14" s="1344"/>
      <c r="D14" s="492" t="s">
        <v>525</v>
      </c>
      <c r="E14" s="962" t="s">
        <v>1444</v>
      </c>
      <c r="F14" s="1030">
        <f>'ITAR_K Gesamtansicht'!E17+'ITAR_K Gesamtansicht'!G19+'ITAR_K Gesamtansicht'!H19</f>
        <v>0</v>
      </c>
      <c r="G14" s="1032">
        <f>+C14-F14</f>
        <v>0</v>
      </c>
      <c r="H14" s="1034" t="str">
        <f t="shared" si="0"/>
        <v>O.K.</v>
      </c>
    </row>
    <row r="15" spans="1:8">
      <c r="A15" s="514" t="s">
        <v>528</v>
      </c>
      <c r="B15" s="515" t="s">
        <v>473</v>
      </c>
      <c r="C15" s="507" t="s">
        <v>147</v>
      </c>
      <c r="D15" s="495" t="s">
        <v>474</v>
      </c>
      <c r="E15" s="795" t="s">
        <v>475</v>
      </c>
      <c r="F15" s="512" t="s">
        <v>147</v>
      </c>
      <c r="G15" s="519" t="s">
        <v>499</v>
      </c>
      <c r="H15" s="525"/>
    </row>
    <row r="16" spans="1:8" ht="38.25">
      <c r="A16" s="496" t="s">
        <v>491</v>
      </c>
      <c r="B16" s="497" t="s">
        <v>492</v>
      </c>
      <c r="C16" s="1345"/>
      <c r="D16" s="504" t="s">
        <v>502</v>
      </c>
      <c r="E16" s="887" t="s">
        <v>478</v>
      </c>
      <c r="F16" s="513">
        <f>+F5</f>
        <v>0</v>
      </c>
      <c r="G16" s="520">
        <f>+C16-F16</f>
        <v>0</v>
      </c>
      <c r="H16" s="529" t="str">
        <f t="shared" si="0"/>
        <v>O.K.</v>
      </c>
    </row>
    <row r="17" spans="1:8">
      <c r="A17" s="493" t="s">
        <v>529</v>
      </c>
      <c r="B17" s="494" t="s">
        <v>473</v>
      </c>
      <c r="C17" s="509" t="s">
        <v>147</v>
      </c>
      <c r="D17" s="505" t="s">
        <v>503</v>
      </c>
      <c r="E17" s="796" t="s">
        <v>475</v>
      </c>
      <c r="F17" s="509" t="s">
        <v>147</v>
      </c>
      <c r="G17" s="521" t="s">
        <v>499</v>
      </c>
      <c r="H17" s="526"/>
    </row>
    <row r="18" spans="1:8">
      <c r="A18" s="483" t="s">
        <v>504</v>
      </c>
      <c r="B18" s="479" t="s">
        <v>573</v>
      </c>
      <c r="C18" s="1342"/>
      <c r="D18" s="502" t="s">
        <v>31</v>
      </c>
      <c r="E18" s="884" t="s">
        <v>1418</v>
      </c>
      <c r="F18" s="510">
        <f>+'KTR-Ausweis Gesamtansicht'!CH38+'KTR-Ausweis Gesamtansicht'!CE38</f>
        <v>0</v>
      </c>
      <c r="G18" s="517">
        <f t="shared" ref="G18:G34" si="1">+C18-F18</f>
        <v>0</v>
      </c>
      <c r="H18" s="527" t="str">
        <f t="shared" si="0"/>
        <v>O.K.</v>
      </c>
    </row>
    <row r="19" spans="1:8">
      <c r="A19" s="483" t="s">
        <v>505</v>
      </c>
      <c r="B19" s="479" t="s">
        <v>574</v>
      </c>
      <c r="C19" s="1342"/>
      <c r="D19" s="502" t="s">
        <v>142</v>
      </c>
      <c r="E19" s="884" t="s">
        <v>1419</v>
      </c>
      <c r="F19" s="510">
        <f>+'KTR-Ausweis Gesamtansicht'!CH70+'KTR-Ausweis Gesamtansicht'!CE70</f>
        <v>0</v>
      </c>
      <c r="G19" s="517">
        <f t="shared" si="1"/>
        <v>0</v>
      </c>
      <c r="H19" s="527" t="str">
        <f t="shared" si="0"/>
        <v>O.K.</v>
      </c>
    </row>
    <row r="20" spans="1:8" ht="25.5">
      <c r="A20" s="483" t="s">
        <v>506</v>
      </c>
      <c r="B20" s="479" t="s">
        <v>575</v>
      </c>
      <c r="C20" s="1342"/>
      <c r="D20" s="502" t="s">
        <v>43</v>
      </c>
      <c r="E20" s="884" t="s">
        <v>1420</v>
      </c>
      <c r="F20" s="510">
        <f>+'KTR-Ausweis Gesamtansicht'!CH71+'KTR-Ausweis Gesamtansicht'!CE71</f>
        <v>0</v>
      </c>
      <c r="G20" s="517">
        <f t="shared" si="1"/>
        <v>0</v>
      </c>
      <c r="H20" s="527" t="str">
        <f t="shared" si="0"/>
        <v>O.K.</v>
      </c>
    </row>
    <row r="21" spans="1:8">
      <c r="A21" s="483" t="s">
        <v>508</v>
      </c>
      <c r="B21" s="479" t="s">
        <v>576</v>
      </c>
      <c r="C21" s="1342"/>
      <c r="D21" s="502" t="s">
        <v>31</v>
      </c>
      <c r="E21" s="884" t="s">
        <v>1421</v>
      </c>
      <c r="F21" s="510">
        <f>+'KTR-Ausweis Gesamtansicht'!R38+'KTR-Ausweis Gesamtansicht'!BF38+'KTR-Ausweis Gesamtansicht'!BS38</f>
        <v>0</v>
      </c>
      <c r="G21" s="517">
        <f t="shared" si="1"/>
        <v>0</v>
      </c>
      <c r="H21" s="527" t="str">
        <f t="shared" si="0"/>
        <v>O.K.</v>
      </c>
    </row>
    <row r="22" spans="1:8">
      <c r="A22" s="483" t="s">
        <v>507</v>
      </c>
      <c r="B22" s="479" t="s">
        <v>577</v>
      </c>
      <c r="C22" s="1342"/>
      <c r="D22" s="502" t="s">
        <v>142</v>
      </c>
      <c r="E22" s="884" t="s">
        <v>1422</v>
      </c>
      <c r="F22" s="510">
        <f>+'KTR-Ausweis Gesamtansicht'!R70+'KTR-Ausweis Gesamtansicht'!BF70+'KTR-Ausweis Gesamtansicht'!BS70</f>
        <v>0</v>
      </c>
      <c r="G22" s="517">
        <f t="shared" si="1"/>
        <v>0</v>
      </c>
      <c r="H22" s="527" t="str">
        <f t="shared" si="0"/>
        <v>O.K.</v>
      </c>
    </row>
    <row r="23" spans="1:8" ht="25.5">
      <c r="A23" s="483" t="s">
        <v>509</v>
      </c>
      <c r="B23" s="479" t="s">
        <v>578</v>
      </c>
      <c r="C23" s="1342"/>
      <c r="D23" s="502" t="s">
        <v>43</v>
      </c>
      <c r="E23" s="884" t="s">
        <v>1423</v>
      </c>
      <c r="F23" s="510">
        <f>+'KTR-Ausweis Gesamtansicht'!R71+'KTR-Ausweis Gesamtansicht'!BF71+'KTR-Ausweis Gesamtansicht'!BS71</f>
        <v>0</v>
      </c>
      <c r="G23" s="517">
        <f t="shared" si="1"/>
        <v>0</v>
      </c>
      <c r="H23" s="527" t="str">
        <f t="shared" si="0"/>
        <v>O.K.</v>
      </c>
    </row>
    <row r="24" spans="1:8">
      <c r="A24" s="483" t="s">
        <v>510</v>
      </c>
      <c r="B24" s="479" t="s">
        <v>579</v>
      </c>
      <c r="C24" s="1342"/>
      <c r="D24" s="502" t="s">
        <v>31</v>
      </c>
      <c r="E24" s="884" t="s">
        <v>1424</v>
      </c>
      <c r="F24" s="510">
        <f>+'KTR-Ausweis Gesamtansicht'!BT38</f>
        <v>0</v>
      </c>
      <c r="G24" s="517">
        <f t="shared" si="1"/>
        <v>0</v>
      </c>
      <c r="H24" s="527" t="str">
        <f t="shared" si="0"/>
        <v>O.K.</v>
      </c>
    </row>
    <row r="25" spans="1:8">
      <c r="A25" s="483" t="s">
        <v>511</v>
      </c>
      <c r="B25" s="479" t="s">
        <v>580</v>
      </c>
      <c r="C25" s="1342"/>
      <c r="D25" s="502" t="s">
        <v>142</v>
      </c>
      <c r="E25" s="884" t="s">
        <v>1425</v>
      </c>
      <c r="F25" s="510">
        <f>+'KTR-Ausweis Gesamtansicht'!BT70</f>
        <v>0</v>
      </c>
      <c r="G25" s="517">
        <f t="shared" si="1"/>
        <v>0</v>
      </c>
      <c r="H25" s="527" t="str">
        <f t="shared" si="0"/>
        <v>O.K.</v>
      </c>
    </row>
    <row r="26" spans="1:8" ht="25.5">
      <c r="A26" s="483" t="s">
        <v>512</v>
      </c>
      <c r="B26" s="479" t="s">
        <v>581</v>
      </c>
      <c r="C26" s="1342"/>
      <c r="D26" s="502" t="s">
        <v>43</v>
      </c>
      <c r="E26" s="884" t="s">
        <v>1426</v>
      </c>
      <c r="F26" s="510">
        <f>+'KTR-Ausweis Gesamtansicht'!BT71</f>
        <v>0</v>
      </c>
      <c r="G26" s="517">
        <f t="shared" si="1"/>
        <v>0</v>
      </c>
      <c r="H26" s="527" t="str">
        <f t="shared" si="0"/>
        <v>O.K.</v>
      </c>
    </row>
    <row r="27" spans="1:8" ht="25.5">
      <c r="A27" s="483" t="s">
        <v>514</v>
      </c>
      <c r="B27" s="479" t="s">
        <v>582</v>
      </c>
      <c r="C27" s="1342"/>
      <c r="D27" s="502" t="s">
        <v>31</v>
      </c>
      <c r="E27" s="884" t="s">
        <v>1427</v>
      </c>
      <c r="F27" s="510">
        <f>+'KTR-Ausweis Gesamtansicht'!I38+'KTR-Ausweis Gesamtansicht'!S38+'KTR-Ausweis Gesamtansicht'!W38+'KTR-Ausweis Gesamtansicht'!AA38+'KTR-Ausweis Gesamtansicht'!AE38+'KTR-Ausweis Gesamtansicht'!AI38+'KTR-Ausweis Gesamtansicht'!AM38+'KTR-Ausweis Gesamtansicht'!AQ38+'KTR-Ausweis Gesamtansicht'!AU38+'KTR-Ausweis Gesamtansicht'!AY38+'KTR-Ausweis Gesamtansicht'!BG38+'KTR-Ausweis Gesamtansicht'!BL38</f>
        <v>0</v>
      </c>
      <c r="G27" s="517">
        <f t="shared" si="1"/>
        <v>0</v>
      </c>
      <c r="H27" s="527" t="str">
        <f t="shared" si="0"/>
        <v>O.K.</v>
      </c>
    </row>
    <row r="28" spans="1:8" ht="25.5">
      <c r="A28" s="483" t="s">
        <v>515</v>
      </c>
      <c r="B28" s="479" t="s">
        <v>583</v>
      </c>
      <c r="C28" s="1342"/>
      <c r="D28" s="502" t="s">
        <v>142</v>
      </c>
      <c r="E28" s="884" t="s">
        <v>1428</v>
      </c>
      <c r="F28" s="510">
        <f>+'KTR-Ausweis Gesamtansicht'!I70+'KTR-Ausweis Gesamtansicht'!S70+'KTR-Ausweis Gesamtansicht'!W70+'KTR-Ausweis Gesamtansicht'!AA70+'KTR-Ausweis Gesamtansicht'!AE70+'KTR-Ausweis Gesamtansicht'!AI70+'KTR-Ausweis Gesamtansicht'!AM70+'KTR-Ausweis Gesamtansicht'!AQ70+'KTR-Ausweis Gesamtansicht'!AU70+'KTR-Ausweis Gesamtansicht'!AY70+'KTR-Ausweis Gesamtansicht'!BG70+'KTR-Ausweis Gesamtansicht'!BL70</f>
        <v>0</v>
      </c>
      <c r="G28" s="517">
        <f t="shared" si="1"/>
        <v>0</v>
      </c>
      <c r="H28" s="527" t="str">
        <f t="shared" si="0"/>
        <v>O.K.</v>
      </c>
    </row>
    <row r="29" spans="1:8" ht="25.5">
      <c r="A29" s="483" t="s">
        <v>513</v>
      </c>
      <c r="B29" s="479" t="s">
        <v>584</v>
      </c>
      <c r="C29" s="1342"/>
      <c r="D29" s="502" t="s">
        <v>43</v>
      </c>
      <c r="E29" s="884" t="s">
        <v>1429</v>
      </c>
      <c r="F29" s="510">
        <f>+'KTR-Ausweis Gesamtansicht'!I71+'KTR-Ausweis Gesamtansicht'!S71+'KTR-Ausweis Gesamtansicht'!W71+'KTR-Ausweis Gesamtansicht'!AA71+'KTR-Ausweis Gesamtansicht'!AE71+'KTR-Ausweis Gesamtansicht'!AI71+'KTR-Ausweis Gesamtansicht'!AM71+'KTR-Ausweis Gesamtansicht'!AQ71+'KTR-Ausweis Gesamtansicht'!AU71+'KTR-Ausweis Gesamtansicht'!AY71+'KTR-Ausweis Gesamtansicht'!BG71+'KTR-Ausweis Gesamtansicht'!BL71</f>
        <v>0</v>
      </c>
      <c r="G29" s="517">
        <f t="shared" si="1"/>
        <v>0</v>
      </c>
      <c r="H29" s="527" t="str">
        <f t="shared" si="0"/>
        <v>O.K.</v>
      </c>
    </row>
    <row r="30" spans="1:8" ht="25.5">
      <c r="A30" s="483" t="s">
        <v>516</v>
      </c>
      <c r="B30" s="479" t="s">
        <v>585</v>
      </c>
      <c r="C30" s="1342"/>
      <c r="D30" s="502" t="s">
        <v>31</v>
      </c>
      <c r="E30" s="884" t="s">
        <v>1433</v>
      </c>
      <c r="F30" s="510">
        <f>+'KTR-Ausweis Gesamtansicht'!L38+'KTR-Ausweis Gesamtansicht'!U38+'KTR-Ausweis Gesamtansicht'!Y38+'KTR-Ausweis Gesamtansicht'!AC38+'KTR-Ausweis Gesamtansicht'!AG38+'KTR-Ausweis Gesamtansicht'!AK38+'KTR-Ausweis Gesamtansicht'!AO38++'KTR-Ausweis Gesamtansicht'!AS38+'KTR-Ausweis Gesamtansicht'!AW38+'KTR-Ausweis Gesamtansicht'!BA38+'KTR-Ausweis Gesamtansicht'!BI38+'KTR-Ausweis Gesamtansicht'!BN38</f>
        <v>0</v>
      </c>
      <c r="G30" s="517">
        <f t="shared" si="1"/>
        <v>0</v>
      </c>
      <c r="H30" s="527" t="str">
        <f t="shared" si="0"/>
        <v>O.K.</v>
      </c>
    </row>
    <row r="31" spans="1:8" ht="25.5">
      <c r="A31" s="483" t="s">
        <v>517</v>
      </c>
      <c r="B31" s="479" t="s">
        <v>586</v>
      </c>
      <c r="C31" s="1342"/>
      <c r="D31" s="502" t="s">
        <v>142</v>
      </c>
      <c r="E31" s="884" t="s">
        <v>1434</v>
      </c>
      <c r="F31" s="510">
        <f>+'KTR-Ausweis Gesamtansicht'!L70+'KTR-Ausweis Gesamtansicht'!U70+'KTR-Ausweis Gesamtansicht'!Y70+'KTR-Ausweis Gesamtansicht'!AC70+'KTR-Ausweis Gesamtansicht'!AG70+'KTR-Ausweis Gesamtansicht'!AK70+'KTR-Ausweis Gesamtansicht'!AO70++'KTR-Ausweis Gesamtansicht'!AS70+'KTR-Ausweis Gesamtansicht'!AW70+'KTR-Ausweis Gesamtansicht'!BA70+'KTR-Ausweis Gesamtansicht'!BI70+'KTR-Ausweis Gesamtansicht'!BN70</f>
        <v>0</v>
      </c>
      <c r="G31" s="517">
        <f t="shared" si="1"/>
        <v>0</v>
      </c>
      <c r="H31" s="527" t="str">
        <f t="shared" si="0"/>
        <v>O.K.</v>
      </c>
    </row>
    <row r="32" spans="1:8" ht="25.5">
      <c r="A32" s="483" t="s">
        <v>518</v>
      </c>
      <c r="B32" s="479" t="s">
        <v>587</v>
      </c>
      <c r="C32" s="1342"/>
      <c r="D32" s="502" t="s">
        <v>43</v>
      </c>
      <c r="E32" s="884" t="s">
        <v>1435</v>
      </c>
      <c r="F32" s="510">
        <f>+'KTR-Ausweis Gesamtansicht'!L71+'KTR-Ausweis Gesamtansicht'!U71+'KTR-Ausweis Gesamtansicht'!Y71+'KTR-Ausweis Gesamtansicht'!AC71+'KTR-Ausweis Gesamtansicht'!AG71+'KTR-Ausweis Gesamtansicht'!AK71+'KTR-Ausweis Gesamtansicht'!AO71++'KTR-Ausweis Gesamtansicht'!AS71+'KTR-Ausweis Gesamtansicht'!AW71+'KTR-Ausweis Gesamtansicht'!BA71+'KTR-Ausweis Gesamtansicht'!BI71+'KTR-Ausweis Gesamtansicht'!BN71</f>
        <v>0</v>
      </c>
      <c r="G32" s="517">
        <f t="shared" si="1"/>
        <v>0</v>
      </c>
      <c r="H32" s="527" t="str">
        <f t="shared" si="0"/>
        <v>O.K.</v>
      </c>
    </row>
    <row r="33" spans="1:9" ht="25.5">
      <c r="A33" s="483" t="s">
        <v>519</v>
      </c>
      <c r="B33" s="479" t="s">
        <v>493</v>
      </c>
      <c r="C33" s="1342"/>
      <c r="D33" s="502" t="s">
        <v>43</v>
      </c>
      <c r="E33" s="884" t="s">
        <v>1436</v>
      </c>
      <c r="F33" s="510">
        <f>+'KTR-Ausweis Gesamtansicht'!CF71+'KTR-Ausweis Gesamtansicht'!CG71</f>
        <v>0</v>
      </c>
      <c r="G33" s="517">
        <f t="shared" si="1"/>
        <v>0</v>
      </c>
      <c r="H33" s="527" t="str">
        <f t="shared" si="0"/>
        <v>O.K.</v>
      </c>
      <c r="I33" s="721" t="s">
        <v>618</v>
      </c>
    </row>
    <row r="34" spans="1:9" ht="25.5">
      <c r="A34" s="498" t="s">
        <v>494</v>
      </c>
      <c r="B34" s="499" t="s">
        <v>523</v>
      </c>
      <c r="C34" s="1346"/>
      <c r="D34" s="506" t="s">
        <v>43</v>
      </c>
      <c r="E34" s="888" t="s">
        <v>2054</v>
      </c>
      <c r="F34" s="1002">
        <f>'KTR-Ausweis Gesamtansicht'!CI71</f>
        <v>0</v>
      </c>
      <c r="G34" s="522">
        <f t="shared" si="1"/>
        <v>0</v>
      </c>
      <c r="H34" s="530" t="str">
        <f t="shared" si="0"/>
        <v>O.K.</v>
      </c>
      <c r="I34" s="721" t="s">
        <v>618</v>
      </c>
    </row>
    <row r="35" spans="1:9">
      <c r="A35" s="493" t="s">
        <v>530</v>
      </c>
      <c r="B35" s="494" t="s">
        <v>473</v>
      </c>
      <c r="C35" s="509" t="s">
        <v>147</v>
      </c>
      <c r="D35" s="505" t="s">
        <v>173</v>
      </c>
      <c r="E35" s="797" t="s">
        <v>475</v>
      </c>
      <c r="F35" s="509" t="s">
        <v>147</v>
      </c>
      <c r="G35" s="521" t="s">
        <v>499</v>
      </c>
      <c r="H35" s="526"/>
      <c r="I35" s="721"/>
    </row>
    <row r="36" spans="1:9" ht="25.5">
      <c r="A36" s="483" t="s">
        <v>520</v>
      </c>
      <c r="B36" s="479" t="s">
        <v>588</v>
      </c>
      <c r="C36" s="1342"/>
      <c r="D36" s="502" t="s">
        <v>23</v>
      </c>
      <c r="E36" s="884" t="s">
        <v>1430</v>
      </c>
      <c r="F36" s="510">
        <f>+'KTR-Ausweis Gesamtansicht'!CH21+'KTR-Ausweis Gesamtansicht'!CE21</f>
        <v>0</v>
      </c>
      <c r="G36" s="517">
        <f>+C36-F36</f>
        <v>0</v>
      </c>
      <c r="H36" s="527" t="str">
        <f t="shared" si="0"/>
        <v>O.K.</v>
      </c>
      <c r="I36" s="721" t="s">
        <v>618</v>
      </c>
    </row>
    <row r="37" spans="1:9" ht="25.5">
      <c r="A37" s="483" t="s">
        <v>521</v>
      </c>
      <c r="B37" s="479" t="s">
        <v>589</v>
      </c>
      <c r="C37" s="1342"/>
      <c r="D37" s="502" t="s">
        <v>23</v>
      </c>
      <c r="E37" s="884" t="s">
        <v>1431</v>
      </c>
      <c r="F37" s="510">
        <f>'KTR-Ausweis Gesamtansicht'!R21+'KTR-Ausweis Gesamtansicht'!BF21+'KTR-Ausweis Gesamtansicht'!BS21</f>
        <v>0</v>
      </c>
      <c r="G37" s="517">
        <f>+C37-F37</f>
        <v>0</v>
      </c>
      <c r="H37" s="527" t="str">
        <f t="shared" si="0"/>
        <v>O.K.</v>
      </c>
      <c r="I37" s="721" t="s">
        <v>618</v>
      </c>
    </row>
    <row r="38" spans="1:9">
      <c r="A38" s="481" t="s">
        <v>522</v>
      </c>
      <c r="B38" s="486" t="s">
        <v>590</v>
      </c>
      <c r="C38" s="1343"/>
      <c r="D38" s="503" t="s">
        <v>23</v>
      </c>
      <c r="E38" s="886" t="s">
        <v>1432</v>
      </c>
      <c r="F38" s="511">
        <f>'KTR-Ausweis Gesamtansicht'!BT21</f>
        <v>0</v>
      </c>
      <c r="G38" s="518">
        <f>+C38-F38</f>
        <v>0</v>
      </c>
      <c r="H38" s="528" t="str">
        <f t="shared" si="0"/>
        <v>O.K.</v>
      </c>
    </row>
    <row r="39" spans="1:9">
      <c r="E39" s="678"/>
    </row>
  </sheetData>
  <sheetProtection password="8B2B" sheet="1" objects="1" scenarios="1" formatCells="0" formatColumns="0" formatRows="0"/>
  <mergeCells count="8">
    <mergeCell ref="G3:H3"/>
    <mergeCell ref="B10:B13"/>
    <mergeCell ref="C10:C13"/>
    <mergeCell ref="D10:D13"/>
    <mergeCell ref="E10:E13"/>
    <mergeCell ref="F10:F13"/>
    <mergeCell ref="G10:G13"/>
    <mergeCell ref="H10:H13"/>
  </mergeCells>
  <pageMargins left="0.25" right="0.25" top="0.75" bottom="0.75" header="0.3" footer="0.3"/>
  <pageSetup paperSize="9" scale="53" fitToHeight="0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H211"/>
  <sheetViews>
    <sheetView showGridLines="0" zoomScale="90" zoomScaleNormal="90" workbookViewId="0">
      <selection activeCell="B32" sqref="B32"/>
    </sheetView>
  </sheetViews>
  <sheetFormatPr baseColWidth="10" defaultColWidth="11.42578125" defaultRowHeight="12.75" outlineLevelRow="1"/>
  <cols>
    <col min="1" max="1" width="2.85546875" style="180" bestFit="1" customWidth="1"/>
    <col min="2" max="2" width="74.42578125" style="180" customWidth="1"/>
    <col min="3" max="3" width="30.42578125" style="180" customWidth="1"/>
    <col min="4" max="4" width="27.7109375" style="180" bestFit="1" customWidth="1"/>
    <col min="5" max="5" width="46.42578125" style="180" bestFit="1" customWidth="1"/>
    <col min="6" max="6" width="26" style="180" bestFit="1" customWidth="1"/>
    <col min="7" max="7" width="28.85546875" style="180" bestFit="1" customWidth="1"/>
    <col min="8" max="8" width="16.42578125" style="180" customWidth="1"/>
    <col min="9" max="9" width="22.42578125" style="180" customWidth="1"/>
    <col min="10" max="10" width="49.85546875" style="180" customWidth="1"/>
    <col min="11" max="11" width="13.42578125" style="180" bestFit="1" customWidth="1"/>
    <col min="12" max="12" width="11.42578125" style="180"/>
    <col min="13" max="13" width="13.42578125" style="180" bestFit="1" customWidth="1"/>
    <col min="14" max="14" width="14.42578125" style="180" customWidth="1"/>
    <col min="15" max="15" width="11.42578125" style="180"/>
    <col min="16" max="16" width="13.42578125" style="180" bestFit="1" customWidth="1"/>
    <col min="17" max="16384" width="11.42578125" style="180"/>
  </cols>
  <sheetData>
    <row r="1" spans="1:8" ht="20.25" customHeight="1">
      <c r="A1" s="333">
        <v>1</v>
      </c>
      <c r="B1" s="1025" t="s">
        <v>421</v>
      </c>
      <c r="C1" s="1501">
        <f>'allg. Infos'!B3</f>
        <v>0</v>
      </c>
      <c r="D1" s="1501"/>
      <c r="E1" s="1026"/>
      <c r="F1" s="1026"/>
    </row>
    <row r="2" spans="1:8" ht="9.75" customHeight="1">
      <c r="A2" s="333"/>
      <c r="B2" s="1025"/>
      <c r="C2" s="1026"/>
      <c r="D2" s="1026"/>
      <c r="E2" s="1026"/>
      <c r="F2" s="1026"/>
    </row>
    <row r="3" spans="1:8" ht="20.25" customHeight="1">
      <c r="B3" s="696" t="s">
        <v>423</v>
      </c>
      <c r="C3" s="697" t="s">
        <v>425</v>
      </c>
      <c r="D3" s="698" t="s">
        <v>424</v>
      </c>
      <c r="E3" s="1026"/>
      <c r="F3" s="1026"/>
    </row>
    <row r="4" spans="1:8" ht="51">
      <c r="B4" s="477" t="s">
        <v>470</v>
      </c>
      <c r="C4" s="1218"/>
      <c r="D4" s="1347"/>
      <c r="E4" s="1026"/>
      <c r="F4" s="1026"/>
    </row>
    <row r="5" spans="1:8" ht="32.25" customHeight="1">
      <c r="B5" s="477" t="s">
        <v>556</v>
      </c>
      <c r="C5" s="191" t="str">
        <f>'KTR-Ausweis Gesamtansicht'!C69</f>
        <v>REKOLE</v>
      </c>
      <c r="D5" s="191"/>
      <c r="E5" s="818"/>
      <c r="F5" s="1026"/>
    </row>
    <row r="6" spans="1:8" ht="32.25" customHeight="1">
      <c r="B6" s="477" t="s">
        <v>422</v>
      </c>
      <c r="C6" s="1218"/>
      <c r="D6" s="191"/>
      <c r="E6" s="1026"/>
      <c r="F6" s="1026"/>
    </row>
    <row r="7" spans="1:8" ht="32.25" customHeight="1">
      <c r="B7" s="478" t="s">
        <v>542</v>
      </c>
      <c r="C7" s="1348"/>
      <c r="D7" s="191"/>
      <c r="E7" s="1026"/>
      <c r="F7" s="1026"/>
    </row>
    <row r="8" spans="1:8" ht="15.75" customHeight="1">
      <c r="A8" s="677"/>
      <c r="B8" s="724"/>
      <c r="C8" s="943"/>
      <c r="D8" s="725"/>
      <c r="E8" s="944"/>
      <c r="F8" s="1026"/>
    </row>
    <row r="9" spans="1:8" ht="15.75" customHeight="1">
      <c r="A9" s="677"/>
      <c r="B9" s="1027"/>
      <c r="C9" s="945"/>
      <c r="D9" s="942"/>
      <c r="E9" s="944"/>
      <c r="F9" s="1026"/>
    </row>
    <row r="10" spans="1:8" ht="15.75" customHeight="1">
      <c r="A10" s="677"/>
      <c r="B10" s="1027"/>
      <c r="C10" s="942"/>
      <c r="D10" s="679"/>
      <c r="E10" s="946"/>
      <c r="F10" s="641"/>
    </row>
    <row r="11" spans="1:8" s="193" customFormat="1" ht="15.75" customHeight="1" thickBot="1">
      <c r="A11" s="947"/>
      <c r="B11" s="947"/>
      <c r="C11" s="947"/>
      <c r="D11" s="947"/>
      <c r="E11" s="947"/>
      <c r="F11" s="197"/>
      <c r="G11" s="197"/>
      <c r="H11" s="197"/>
    </row>
    <row r="12" spans="1:8" ht="18">
      <c r="A12" s="299">
        <v>2</v>
      </c>
      <c r="B12" s="865" t="s">
        <v>426</v>
      </c>
      <c r="C12" s="866"/>
      <c r="D12" s="866"/>
      <c r="E12" s="866"/>
      <c r="F12" s="866"/>
      <c r="G12" s="866"/>
      <c r="H12" s="866"/>
    </row>
    <row r="13" spans="1:8" ht="7.5" customHeight="1">
      <c r="A13" s="291"/>
    </row>
    <row r="14" spans="1:8">
      <c r="A14" s="291"/>
      <c r="B14" s="699" t="s">
        <v>427</v>
      </c>
      <c r="C14" s="700"/>
      <c r="D14" s="700" t="s">
        <v>429</v>
      </c>
      <c r="E14" s="1497" t="s">
        <v>428</v>
      </c>
      <c r="F14" s="1498"/>
    </row>
    <row r="15" spans="1:8" s="327" customFormat="1" ht="38.25">
      <c r="A15" s="326"/>
      <c r="B15" s="867" t="s">
        <v>461</v>
      </c>
      <c r="C15" s="868"/>
      <c r="D15" s="642">
        <f>D19-D20</f>
        <v>0</v>
      </c>
      <c r="E15" s="1499" t="str">
        <f>IF(D15&gt;499,"Aufwand ITAR_K tiefer als im Jahresbericht, bitte prüfen",IF(D15&lt;-499,"Aufwand ITAR_K höher als im Jahresbericht, bitte prüfen","O.K."))</f>
        <v>O.K.</v>
      </c>
      <c r="F15" s="1500"/>
    </row>
    <row r="16" spans="1:8" ht="15.75" customHeight="1">
      <c r="A16" s="322"/>
      <c r="B16" s="1495" t="s">
        <v>431</v>
      </c>
      <c r="C16" s="323" t="s">
        <v>430</v>
      </c>
      <c r="D16" s="1349"/>
      <c r="E16" s="643"/>
      <c r="F16" s="644"/>
    </row>
    <row r="17" spans="1:6" ht="15.75" customHeight="1">
      <c r="A17" s="322"/>
      <c r="B17" s="1496"/>
      <c r="C17" s="323" t="s">
        <v>596</v>
      </c>
      <c r="D17" s="1349"/>
      <c r="E17" s="643"/>
      <c r="F17" s="644"/>
    </row>
    <row r="18" spans="1:6" ht="15.75" customHeight="1">
      <c r="A18" s="322"/>
      <c r="B18" s="1496"/>
      <c r="C18" s="323" t="s">
        <v>15</v>
      </c>
      <c r="D18" s="1349"/>
      <c r="E18" s="643"/>
      <c r="F18" s="644"/>
    </row>
    <row r="19" spans="1:6" ht="15.75" customHeight="1">
      <c r="A19" s="322"/>
      <c r="B19" s="1496"/>
      <c r="C19" s="323" t="s">
        <v>432</v>
      </c>
      <c r="D19" s="645">
        <f>SUM(D16:D18)</f>
        <v>0</v>
      </c>
      <c r="E19" s="643"/>
      <c r="F19" s="644"/>
    </row>
    <row r="20" spans="1:6" ht="15.75" customHeight="1">
      <c r="A20" s="322"/>
      <c r="B20" s="324" t="s">
        <v>433</v>
      </c>
      <c r="C20" s="325"/>
      <c r="D20" s="646">
        <f>'ITAR_K Gesamtansicht'!C15</f>
        <v>0</v>
      </c>
      <c r="E20" s="647"/>
      <c r="F20" s="648"/>
    </row>
    <row r="21" spans="1:6" s="327" customFormat="1" ht="38.25">
      <c r="A21" s="326"/>
      <c r="B21" s="863" t="s">
        <v>2070</v>
      </c>
      <c r="C21" s="864"/>
      <c r="D21" s="649">
        <f>'ITAR_K Gesamtansicht'!CJ19</f>
        <v>0</v>
      </c>
      <c r="E21" s="1487" t="str">
        <f>IF(D21&lt;-499,"Kostenarten- stimmt nicht mit der Kostenträgerrechnung überein, bitte prüfen",IF(D21&gt;499,"Kostenarten- stimmt nicht mit der Kostenträgerrechnung überein, bitte prüfen","O.K."))</f>
        <v>O.K.</v>
      </c>
      <c r="F21" s="1488"/>
    </row>
    <row r="22" spans="1:6" s="327" customFormat="1" ht="41.25" customHeight="1">
      <c r="A22" s="326"/>
      <c r="B22" s="863" t="s">
        <v>1339</v>
      </c>
      <c r="C22" s="864"/>
      <c r="D22" s="798" t="e">
        <f>'ITAR_K Gesamtansicht'!D15/'ITAR_K Gesamtansicht'!C15</f>
        <v>#DIV/0!</v>
      </c>
      <c r="E22" s="1491" t="s">
        <v>2058</v>
      </c>
      <c r="F22" s="1492"/>
    </row>
    <row r="23" spans="1:6" s="327" customFormat="1">
      <c r="A23" s="326"/>
      <c r="B23" s="850" t="s">
        <v>1409</v>
      </c>
      <c r="C23" s="864"/>
      <c r="D23" s="798"/>
      <c r="E23" s="1035"/>
      <c r="F23" s="1036"/>
    </row>
    <row r="24" spans="1:6" s="327" customFormat="1" outlineLevel="1">
      <c r="A24" s="326"/>
      <c r="B24" s="1493"/>
      <c r="C24" s="873" t="s">
        <v>79</v>
      </c>
      <c r="D24" s="874">
        <f>Zusatzinfos!D16</f>
        <v>0</v>
      </c>
      <c r="E24" s="1489" t="str">
        <f>IF(D24&lt;0%,"Mehrkosten für Zuatzversicherte negativ. Bitte überprüfen Sie Ihre Angaben","O.K.")</f>
        <v>O.K.</v>
      </c>
      <c r="F24" s="1490"/>
    </row>
    <row r="25" spans="1:6" s="327" customFormat="1" outlineLevel="1">
      <c r="A25" s="326"/>
      <c r="B25" s="1494"/>
      <c r="C25" s="873" t="s">
        <v>80</v>
      </c>
      <c r="D25" s="874">
        <f>Zusatzinfos!F16</f>
        <v>0</v>
      </c>
      <c r="E25" s="1489" t="str">
        <f>IF(D25&lt;0%,"Mehrkosten für Zuatzversicherte negativ. Bitte überprüfen Sie Ihre Angaben","O.K.")</f>
        <v>O.K.</v>
      </c>
      <c r="F25" s="1490"/>
    </row>
    <row r="26" spans="1:6" s="327" customFormat="1">
      <c r="A26" s="326"/>
      <c r="B26" s="863" t="s">
        <v>1407</v>
      </c>
      <c r="C26" s="864"/>
      <c r="D26" s="798"/>
      <c r="E26" s="1035"/>
      <c r="F26" s="1036"/>
    </row>
    <row r="27" spans="1:6" s="327" customFormat="1" ht="25.5" outlineLevel="1">
      <c r="A27" s="326"/>
      <c r="B27" s="875"/>
      <c r="C27" s="873" t="str">
        <f>Zusatzinfos!L2</f>
        <v xml:space="preserve">Geriatrische Rehab. 
ZV KVG </v>
      </c>
      <c r="D27" s="874">
        <f>Zusatzinfos!L16</f>
        <v>0</v>
      </c>
      <c r="E27" s="1489" t="str">
        <f>IF(D27&lt;0%,"Mehrkosten für Zuatzversicherte negativ. Bitte überprüfen Sie Ihre Angaben","O.K.")</f>
        <v>O.K.</v>
      </c>
      <c r="F27" s="1490"/>
    </row>
    <row r="28" spans="1:6" s="327" customFormat="1" ht="25.5" outlineLevel="1">
      <c r="A28" s="326"/>
      <c r="B28" s="875"/>
      <c r="C28" s="873" t="str">
        <f>Zusatzinfos!N2</f>
        <v>Geriatrische Rehab. 
ZMT ZV</v>
      </c>
      <c r="D28" s="874">
        <f>Zusatzinfos!N16</f>
        <v>0</v>
      </c>
      <c r="E28" s="1489" t="str">
        <f t="shared" ref="E28:E53" si="0">IF(D28&lt;0%,"Mehrkosten für Zuatzversicherte negativ. Bitte überprüfen Sie Ihre Angaben","O.K.")</f>
        <v>O.K.</v>
      </c>
      <c r="F28" s="1490"/>
    </row>
    <row r="29" spans="1:6" s="327" customFormat="1" ht="25.5" outlineLevel="1">
      <c r="A29" s="326"/>
      <c r="B29" s="875"/>
      <c r="C29" s="873" t="str">
        <f>Zusatzinfos!P2</f>
        <v xml:space="preserve">Kardiovask. Rehab. 
ZV KVG </v>
      </c>
      <c r="D29" s="874">
        <f>Zusatzinfos!P16</f>
        <v>0</v>
      </c>
      <c r="E29" s="1489" t="str">
        <f t="shared" si="0"/>
        <v>O.K.</v>
      </c>
      <c r="F29" s="1490"/>
    </row>
    <row r="30" spans="1:6" s="327" customFormat="1" ht="25.5" outlineLevel="1">
      <c r="A30" s="326"/>
      <c r="B30" s="875"/>
      <c r="C30" s="873" t="str">
        <f>Zusatzinfos!R2</f>
        <v>Kardiovask. Rehab. 
ZMT ZV</v>
      </c>
      <c r="D30" s="874">
        <f>Zusatzinfos!R16</f>
        <v>0</v>
      </c>
      <c r="E30" s="1489" t="str">
        <f t="shared" si="0"/>
        <v>O.K.</v>
      </c>
      <c r="F30" s="1490"/>
    </row>
    <row r="31" spans="1:6" s="327" customFormat="1" ht="25.5" outlineLevel="1">
      <c r="A31" s="326"/>
      <c r="B31" s="875"/>
      <c r="C31" s="873" t="str">
        <f>Zusatzinfos!T2</f>
        <v xml:space="preserve">Muskulosk. Rehab. 
ZV KVG </v>
      </c>
      <c r="D31" s="874">
        <f>Zusatzinfos!T16</f>
        <v>0</v>
      </c>
      <c r="E31" s="1489" t="str">
        <f t="shared" si="0"/>
        <v>O.K.</v>
      </c>
      <c r="F31" s="1490"/>
    </row>
    <row r="32" spans="1:6" s="327" customFormat="1" ht="25.5" outlineLevel="1">
      <c r="A32" s="326"/>
      <c r="B32" s="875"/>
      <c r="C32" s="873" t="str">
        <f>Zusatzinfos!V2</f>
        <v>Muskulosk. Rehab. 
ZMT ZV</v>
      </c>
      <c r="D32" s="874">
        <f>Zusatzinfos!V16</f>
        <v>0</v>
      </c>
      <c r="E32" s="1489" t="str">
        <f t="shared" si="0"/>
        <v>O.K.</v>
      </c>
      <c r="F32" s="1490"/>
    </row>
    <row r="33" spans="1:6" s="327" customFormat="1" ht="25.5" outlineLevel="1">
      <c r="A33" s="326"/>
      <c r="B33" s="875"/>
      <c r="C33" s="873" t="str">
        <f>Zusatzinfos!X2</f>
        <v xml:space="preserve">Neuro. Rehab. 
ZV KVG </v>
      </c>
      <c r="D33" s="874">
        <f>Zusatzinfos!X16</f>
        <v>0</v>
      </c>
      <c r="E33" s="1489" t="str">
        <f t="shared" si="0"/>
        <v>O.K.</v>
      </c>
      <c r="F33" s="1490"/>
    </row>
    <row r="34" spans="1:6" s="327" customFormat="1" ht="25.5" outlineLevel="1">
      <c r="A34" s="326"/>
      <c r="B34" s="875"/>
      <c r="C34" s="873" t="str">
        <f>Zusatzinfos!Z2</f>
        <v>Neuro. Rehab. 
ZMT ZV</v>
      </c>
      <c r="D34" s="874">
        <f>Zusatzinfos!Z16</f>
        <v>0</v>
      </c>
      <c r="E34" s="1489" t="str">
        <f t="shared" si="0"/>
        <v>O.K.</v>
      </c>
      <c r="F34" s="1490"/>
    </row>
    <row r="35" spans="1:6" s="327" customFormat="1" ht="25.5" outlineLevel="1">
      <c r="A35" s="326"/>
      <c r="B35" s="875"/>
      <c r="C35" s="873" t="str">
        <f>Zusatzinfos!AB2</f>
        <v xml:space="preserve">Pulmonale Rehab. 
ZV KVG </v>
      </c>
      <c r="D35" s="874">
        <f>Zusatzinfos!AB16</f>
        <v>0</v>
      </c>
      <c r="E35" s="1489" t="str">
        <f t="shared" si="0"/>
        <v>O.K.</v>
      </c>
      <c r="F35" s="1490"/>
    </row>
    <row r="36" spans="1:6" s="327" customFormat="1" ht="25.5" outlineLevel="1">
      <c r="A36" s="326"/>
      <c r="B36" s="875"/>
      <c r="C36" s="873" t="str">
        <f>Zusatzinfos!AD2</f>
        <v>Pulmonale Rehab. 
ZMT ZV</v>
      </c>
      <c r="D36" s="874">
        <f>Zusatzinfos!AD16</f>
        <v>0</v>
      </c>
      <c r="E36" s="1489" t="str">
        <f t="shared" si="0"/>
        <v>O.K.</v>
      </c>
      <c r="F36" s="1490"/>
    </row>
    <row r="37" spans="1:6" s="327" customFormat="1" ht="25.5" outlineLevel="1">
      <c r="A37" s="326"/>
      <c r="B37" s="875"/>
      <c r="C37" s="873" t="str">
        <f>Zusatzinfos!AF2</f>
        <v xml:space="preserve">Pädiatrische Rehab. 
ZV KVG </v>
      </c>
      <c r="D37" s="874">
        <f>Zusatzinfos!AF16</f>
        <v>0</v>
      </c>
      <c r="E37" s="1489" t="str">
        <f t="shared" si="0"/>
        <v>O.K.</v>
      </c>
      <c r="F37" s="1490"/>
    </row>
    <row r="38" spans="1:6" s="327" customFormat="1" ht="25.5" outlineLevel="1">
      <c r="A38" s="326"/>
      <c r="B38" s="875"/>
      <c r="C38" s="873" t="str">
        <f>Zusatzinfos!AH2</f>
        <v>Pädiatrische Rehab. 
ZMT ZV</v>
      </c>
      <c r="D38" s="874">
        <f>Zusatzinfos!AH16</f>
        <v>0</v>
      </c>
      <c r="E38" s="1489" t="str">
        <f t="shared" si="0"/>
        <v>O.K.</v>
      </c>
      <c r="F38" s="1490"/>
    </row>
    <row r="39" spans="1:6" s="327" customFormat="1" ht="38.25" outlineLevel="1">
      <c r="A39" s="326"/>
      <c r="B39" s="875"/>
      <c r="C39" s="873" t="str">
        <f>Zusatzinfos!AJ2</f>
        <v>Internistische &amp; Onkologische Rehab. 
ZV KVG</v>
      </c>
      <c r="D39" s="874">
        <f>Zusatzinfos!AJ16</f>
        <v>0</v>
      </c>
      <c r="E39" s="1489" t="str">
        <f t="shared" ref="E39:E44" si="1">IF(D39&lt;0%,"Mehrkosten für Zuatzversicherte negativ. Bitte überprüfen Sie Ihre Angaben","O.K.")</f>
        <v>O.K.</v>
      </c>
      <c r="F39" s="1490"/>
    </row>
    <row r="40" spans="1:6" s="327" customFormat="1" ht="38.25" outlineLevel="1">
      <c r="A40" s="326"/>
      <c r="B40" s="875"/>
      <c r="C40" s="873" t="str">
        <f>Zusatzinfos!AL2</f>
        <v>Internistische &amp; Onkologische Rehab. 
ZMT ZV</v>
      </c>
      <c r="D40" s="874">
        <f>Zusatzinfos!AL16</f>
        <v>0</v>
      </c>
      <c r="E40" s="1489" t="str">
        <f t="shared" si="1"/>
        <v>O.K.</v>
      </c>
      <c r="F40" s="1490"/>
    </row>
    <row r="41" spans="1:6" s="327" customFormat="1" ht="25.5" outlineLevel="1">
      <c r="A41" s="326"/>
      <c r="B41" s="875"/>
      <c r="C41" s="873" t="str">
        <f>Zusatzinfos!AN2</f>
        <v>Paraplegiologische Rehab. ZV KVG</v>
      </c>
      <c r="D41" s="874">
        <f>Zusatzinfos!AN16</f>
        <v>0</v>
      </c>
      <c r="E41" s="1489" t="str">
        <f t="shared" si="1"/>
        <v>O.K.</v>
      </c>
      <c r="F41" s="1490"/>
    </row>
    <row r="42" spans="1:6" s="327" customFormat="1" ht="25.5" outlineLevel="1">
      <c r="A42" s="326"/>
      <c r="B42" s="875"/>
      <c r="C42" s="873" t="str">
        <f>Zusatzinfos!AP2</f>
        <v>Paraplegiologische Rehab.
ZMT ZV</v>
      </c>
      <c r="D42" s="874">
        <f>Zusatzinfos!AP16</f>
        <v>0</v>
      </c>
      <c r="E42" s="1489" t="str">
        <f t="shared" si="1"/>
        <v>O.K.</v>
      </c>
      <c r="F42" s="1490"/>
    </row>
    <row r="43" spans="1:6" s="327" customFormat="1" ht="25.5" outlineLevel="1">
      <c r="A43" s="326"/>
      <c r="B43" s="875"/>
      <c r="C43" s="873" t="str">
        <f>Zusatzinfos!AR2</f>
        <v>Psychosomatische Rehab. ZV KVG</v>
      </c>
      <c r="D43" s="874">
        <f>Zusatzinfos!AR16</f>
        <v>0</v>
      </c>
      <c r="E43" s="1489" t="str">
        <f t="shared" si="1"/>
        <v>O.K.</v>
      </c>
      <c r="F43" s="1490"/>
    </row>
    <row r="44" spans="1:6" s="327" customFormat="1" ht="25.5" outlineLevel="1">
      <c r="A44" s="326"/>
      <c r="B44" s="875"/>
      <c r="C44" s="873" t="str">
        <f>Zusatzinfos!AT2</f>
        <v>Psychosomatische Rehab.
ZMT ZV</v>
      </c>
      <c r="D44" s="874">
        <f>Zusatzinfos!AT16</f>
        <v>0</v>
      </c>
      <c r="E44" s="1489" t="str">
        <f t="shared" si="1"/>
        <v>O.K.</v>
      </c>
      <c r="F44" s="1490"/>
    </row>
    <row r="45" spans="1:6" s="327" customFormat="1" ht="25.5" outlineLevel="1">
      <c r="A45" s="326"/>
      <c r="B45" s="875"/>
      <c r="C45" s="873" t="str">
        <f>Zusatzinfos!AN2</f>
        <v>Paraplegiologische Rehab. ZV KVG</v>
      </c>
      <c r="D45" s="874">
        <f>Zusatzinfos!AN16</f>
        <v>0</v>
      </c>
      <c r="E45" s="1489" t="str">
        <f t="shared" si="0"/>
        <v>O.K.</v>
      </c>
      <c r="F45" s="1490"/>
    </row>
    <row r="46" spans="1:6" s="327" customFormat="1" ht="25.5" outlineLevel="1">
      <c r="A46" s="326"/>
      <c r="B46" s="875"/>
      <c r="C46" s="873" t="str">
        <f>Zusatzinfos!AP2</f>
        <v>Paraplegiologische Rehab.
ZMT ZV</v>
      </c>
      <c r="D46" s="874">
        <f>Zusatzinfos!AP16</f>
        <v>0</v>
      </c>
      <c r="E46" s="1489" t="str">
        <f t="shared" si="0"/>
        <v>O.K.</v>
      </c>
      <c r="F46" s="1490"/>
    </row>
    <row r="47" spans="1:6" s="327" customFormat="1" ht="25.5" outlineLevel="1">
      <c r="A47" s="326"/>
      <c r="B47" s="875"/>
      <c r="C47" s="873" t="str">
        <f>Zusatzinfos!AR2</f>
        <v>Psychosomatische Rehab. ZV KVG</v>
      </c>
      <c r="D47" s="874">
        <f>Zusatzinfos!AR16</f>
        <v>0</v>
      </c>
      <c r="E47" s="1489" t="str">
        <f t="shared" si="0"/>
        <v>O.K.</v>
      </c>
      <c r="F47" s="1490"/>
    </row>
    <row r="48" spans="1:6" s="327" customFormat="1" ht="25.5" outlineLevel="1">
      <c r="A48" s="326"/>
      <c r="B48" s="876"/>
      <c r="C48" s="873" t="str">
        <f>Zusatzinfos!AT2</f>
        <v>Psychosomatische Rehab.
ZMT ZV</v>
      </c>
      <c r="D48" s="874">
        <f>Zusatzinfos!AT16</f>
        <v>0</v>
      </c>
      <c r="E48" s="1489" t="str">
        <f t="shared" si="0"/>
        <v>O.K.</v>
      </c>
      <c r="F48" s="1490"/>
    </row>
    <row r="49" spans="1:6" s="327" customFormat="1">
      <c r="A49" s="326"/>
      <c r="B49" s="863" t="s">
        <v>1408</v>
      </c>
      <c r="C49" s="864"/>
      <c r="D49" s="798"/>
      <c r="E49" s="1035"/>
      <c r="F49" s="1036"/>
    </row>
    <row r="50" spans="1:6" s="327" customFormat="1" ht="25.5" outlineLevel="1">
      <c r="A50" s="326"/>
      <c r="B50" s="875"/>
      <c r="C50" s="878" t="str">
        <f>Zusatzinfos!AZ2</f>
        <v>stat. Tarif KVG ZV
Erw. Psychi</v>
      </c>
      <c r="D50" s="877">
        <f>Zusatzinfos!AZ16</f>
        <v>0</v>
      </c>
      <c r="E50" s="1502" t="str">
        <f t="shared" si="0"/>
        <v>O.K.</v>
      </c>
      <c r="F50" s="1503"/>
    </row>
    <row r="51" spans="1:6" s="327" customFormat="1" ht="25.5" outlineLevel="1">
      <c r="A51" s="326"/>
      <c r="B51" s="875"/>
      <c r="C51" s="878" t="str">
        <f>Zusatzinfos!BB2</f>
        <v>stat. Tarif ZMT ZV
Erw. Psychi</v>
      </c>
      <c r="D51" s="877">
        <f>Zusatzinfos!BB16</f>
        <v>0</v>
      </c>
      <c r="E51" s="1502" t="str">
        <f t="shared" si="0"/>
        <v>O.K.</v>
      </c>
      <c r="F51" s="1503"/>
    </row>
    <row r="52" spans="1:6" s="327" customFormat="1" ht="25.5" outlineLevel="1">
      <c r="A52" s="326"/>
      <c r="B52" s="875"/>
      <c r="C52" s="878" t="str">
        <f>Zusatzinfos!BE2</f>
        <v>stat. Tarif KVG ZV
Kinder Psychi</v>
      </c>
      <c r="D52" s="877">
        <f>Zusatzinfos!BE16</f>
        <v>0</v>
      </c>
      <c r="E52" s="1502" t="str">
        <f t="shared" si="0"/>
        <v>O.K.</v>
      </c>
      <c r="F52" s="1503"/>
    </row>
    <row r="53" spans="1:6" s="327" customFormat="1" ht="26.25" customHeight="1" outlineLevel="1">
      <c r="A53" s="326"/>
      <c r="B53" s="876"/>
      <c r="C53" s="878" t="str">
        <f>Zusatzinfos!BG2</f>
        <v>stat. Tarif ZMT ZV
Kinder Psychi</v>
      </c>
      <c r="D53" s="877">
        <f>Zusatzinfos!BG16</f>
        <v>0</v>
      </c>
      <c r="E53" s="1502" t="str">
        <f t="shared" si="0"/>
        <v>O.K.</v>
      </c>
      <c r="F53" s="1503"/>
    </row>
    <row r="54" spans="1:6" s="327" customFormat="1" ht="38.25">
      <c r="A54" s="326"/>
      <c r="B54" s="863" t="s">
        <v>557</v>
      </c>
      <c r="C54" s="864"/>
      <c r="D54" s="650">
        <f>'ITAR_K Gesamtansicht'!C23</f>
        <v>0</v>
      </c>
      <c r="E54" s="1487" t="str">
        <f>IF(D54&gt;0,"O.K.","Bitte begründen resp. prüfen")</f>
        <v>Bitte begründen resp. prüfen</v>
      </c>
      <c r="F54" s="1488"/>
    </row>
    <row r="55" spans="1:6" s="327" customFormat="1" ht="26.25" customHeight="1">
      <c r="A55" s="326"/>
      <c r="B55" s="863" t="s">
        <v>558</v>
      </c>
      <c r="C55" s="864"/>
      <c r="D55" s="650" t="e">
        <f>'ITAR_K Gesamtansicht'!E23</f>
        <v>#DIV/0!</v>
      </c>
      <c r="E55" s="1487" t="e">
        <f>IF(D55&gt;0,"O.K.","Bitte prüfen")</f>
        <v>#DIV/0!</v>
      </c>
      <c r="F55" s="1488"/>
    </row>
    <row r="56" spans="1:6" s="327" customFormat="1" ht="26.25" customHeight="1">
      <c r="A56" s="326"/>
      <c r="B56" s="863" t="s">
        <v>2059</v>
      </c>
      <c r="C56" s="864"/>
      <c r="D56" s="650">
        <f>'ITAR_K Gesamtansicht'!R37-Zusatzinfos!J13</f>
        <v>0</v>
      </c>
      <c r="E56" s="1487" t="str">
        <f>IF(D56=0,"O.K.","Bitte prüfen")</f>
        <v>O.K.</v>
      </c>
      <c r="F56" s="1488"/>
    </row>
    <row r="57" spans="1:6" s="327" customFormat="1" ht="26.25" customHeight="1">
      <c r="A57" s="326"/>
      <c r="B57" s="863" t="s">
        <v>2060</v>
      </c>
      <c r="C57" s="864"/>
      <c r="D57" s="650">
        <f>'ITAR_K Gesamtansicht'!BF37-Zusatzinfos!AX13</f>
        <v>0</v>
      </c>
      <c r="E57" s="1487" t="str">
        <f>IF(D57=0,"O.K.","Bitte prüfen")</f>
        <v>O.K.</v>
      </c>
      <c r="F57" s="1488"/>
    </row>
    <row r="58" spans="1:6" s="327" customFormat="1" ht="26.25" customHeight="1">
      <c r="B58" s="863" t="s">
        <v>2061</v>
      </c>
      <c r="C58" s="864"/>
      <c r="D58" s="650">
        <f>'ITAR_K Gesamtansicht'!BS37-Zusatzinfos!BK13</f>
        <v>0</v>
      </c>
      <c r="E58" s="1487" t="str">
        <f>IF(D58=0,"O.K.","Bitte prüfen")</f>
        <v>O.K.</v>
      </c>
      <c r="F58" s="1488"/>
    </row>
    <row r="59" spans="1:6" ht="12.75" customHeight="1" outlineLevel="1">
      <c r="B59" s="854" t="s">
        <v>2062</v>
      </c>
      <c r="C59" s="855"/>
      <c r="D59" s="650"/>
      <c r="E59" s="1485"/>
      <c r="F59" s="1486"/>
    </row>
    <row r="60" spans="1:6" ht="15" customHeight="1" outlineLevel="1">
      <c r="B60" s="856" t="str">
        <f>'KTR-Ausweis Gesamtansicht'!I10</f>
        <v>rein stat. KVG Fälle
akut</v>
      </c>
      <c r="C60" s="857"/>
      <c r="D60" s="651">
        <f>'KTR-Ausweis Gesamtansicht'!I81</f>
        <v>0</v>
      </c>
      <c r="E60" s="652" t="str">
        <f>IF(D60&gt;21%,"Anlagenutzung sehr hoch, bitte prüfen",IF(D60=0,"O.K.",IF(D60&lt;7%,"Anlagenutzung sehr tief, bitte prüfen","O.K")))</f>
        <v>O.K.</v>
      </c>
      <c r="F60" s="653"/>
    </row>
    <row r="61" spans="1:6" ht="12.75" customHeight="1" outlineLevel="1">
      <c r="B61" s="851" t="str">
        <f>'KTR-Ausweis Gesamtansicht'!J10</f>
        <v>stat. Tarif KVG ZV 
akut</v>
      </c>
      <c r="C61" s="849"/>
      <c r="D61" s="538">
        <f>'KTR-Ausweis Gesamtansicht'!J81</f>
        <v>0</v>
      </c>
      <c r="E61" s="654" t="str">
        <f t="shared" ref="E61:E126" si="2">IF(D61&gt;21%,"Anlagenutzung sehr hoch, bitte prüfen",IF(D61=0,"O.K.",IF(D61&lt;7%,"Anlagenutzung sehr tief, bitte prüfen","O.K")))</f>
        <v>O.K.</v>
      </c>
      <c r="F61" s="655"/>
    </row>
    <row r="62" spans="1:6" ht="12.75" customHeight="1" outlineLevel="1">
      <c r="B62" s="851" t="str">
        <f>'KTR-Ausweis Gesamtansicht'!L10</f>
        <v>stat. 
Tarif ZMT 
akut</v>
      </c>
      <c r="C62" s="849"/>
      <c r="D62" s="538">
        <f>'KTR-Ausweis Gesamtansicht'!L81</f>
        <v>0</v>
      </c>
      <c r="E62" s="654" t="str">
        <f t="shared" si="2"/>
        <v>O.K.</v>
      </c>
      <c r="F62" s="655"/>
    </row>
    <row r="63" spans="1:6" ht="12.75" customHeight="1" outlineLevel="1">
      <c r="B63" s="851" t="str">
        <f>'KTR-Ausweis Gesamtansicht'!M10</f>
        <v>stat. Tarif ZMT ZV 
akut</v>
      </c>
      <c r="C63" s="849"/>
      <c r="D63" s="538">
        <f>'KTR-Ausweis Gesamtansicht'!M81</f>
        <v>0</v>
      </c>
      <c r="E63" s="654" t="str">
        <f t="shared" si="2"/>
        <v>O.K.</v>
      </c>
      <c r="F63" s="655"/>
    </row>
    <row r="64" spans="1:6" ht="12.75" customHeight="1" outlineLevel="1">
      <c r="B64" s="851" t="str">
        <f>'KTR-Ausweis Gesamtansicht'!O10</f>
        <v>übrige Selbstzahler 
akut</v>
      </c>
      <c r="C64" s="849"/>
      <c r="D64" s="538">
        <f>'KTR-Ausweis Gesamtansicht'!O81</f>
        <v>0</v>
      </c>
      <c r="E64" s="654" t="str">
        <f t="shared" si="2"/>
        <v>O.K.</v>
      </c>
      <c r="F64" s="655"/>
    </row>
    <row r="65" spans="2:6" ht="12.75" customHeight="1" outlineLevel="1">
      <c r="B65" s="851" t="str">
        <f>'KTR-Ausweis Gesamtansicht'!P10</f>
        <v xml:space="preserve">weiterer Tarif reine stat. </v>
      </c>
      <c r="C65" s="849"/>
      <c r="D65" s="538">
        <f>'KTR-Ausweis Gesamtansicht'!P81</f>
        <v>0</v>
      </c>
      <c r="E65" s="654" t="str">
        <f t="shared" si="2"/>
        <v>O.K.</v>
      </c>
      <c r="F65" s="655"/>
    </row>
    <row r="66" spans="2:6" s="541" customFormat="1">
      <c r="B66" s="851" t="str">
        <f>'KTR-Ausweis Gesamtansicht'!Q10</f>
        <v>weiterer Tarif stat. ZV</v>
      </c>
      <c r="C66" s="849"/>
      <c r="D66" s="538">
        <f>'KTR-Ausweis Gesamtansicht'!Q81</f>
        <v>0</v>
      </c>
      <c r="E66" s="654" t="str">
        <f t="shared" si="2"/>
        <v>O.K.</v>
      </c>
      <c r="F66" s="655"/>
    </row>
    <row r="67" spans="2:6" ht="12.75" customHeight="1" outlineLevel="1">
      <c r="B67" s="852" t="str">
        <f>'KTR-Ausweis Gesamtansicht'!R10</f>
        <v>Total 
stationär, SwissDRG relevant</v>
      </c>
      <c r="C67" s="853"/>
      <c r="D67" s="537">
        <f>'KTR-Ausweis Gesamtansicht'!R81</f>
        <v>0</v>
      </c>
      <c r="E67" s="542" t="str">
        <f t="shared" si="2"/>
        <v>O.K.</v>
      </c>
      <c r="F67" s="543"/>
    </row>
    <row r="68" spans="2:6" ht="12.75" customHeight="1" outlineLevel="1">
      <c r="B68" s="851" t="str">
        <f>'KTR-Ausweis Gesamtansicht'!S10</f>
        <v xml:space="preserve">Geriatrische Rehab. 
rein stat. KVG </v>
      </c>
      <c r="C68" s="849"/>
      <c r="D68" s="538">
        <f>'KTR-Ausweis Gesamtansicht'!S81</f>
        <v>0</v>
      </c>
      <c r="E68" s="654" t="str">
        <f t="shared" si="2"/>
        <v>O.K.</v>
      </c>
      <c r="F68" s="655"/>
    </row>
    <row r="69" spans="2:6" ht="12.75" customHeight="1" outlineLevel="1">
      <c r="B69" s="851" t="str">
        <f>'KTR-Ausweis Gesamtansicht'!T10</f>
        <v xml:space="preserve">Geriatrische Rehab. 
ZV KVG </v>
      </c>
      <c r="C69" s="849"/>
      <c r="D69" s="538">
        <f>'KTR-Ausweis Gesamtansicht'!T81</f>
        <v>0</v>
      </c>
      <c r="E69" s="654" t="str">
        <f t="shared" si="2"/>
        <v>O.K.</v>
      </c>
      <c r="F69" s="655"/>
    </row>
    <row r="70" spans="2:6" ht="12.75" customHeight="1" outlineLevel="1">
      <c r="B70" s="851" t="str">
        <f>'KTR-Ausweis Gesamtansicht'!U10</f>
        <v xml:space="preserve">Geriatrische Rehab. 
ZMT </v>
      </c>
      <c r="C70" s="849"/>
      <c r="D70" s="538">
        <f>'KTR-Ausweis Gesamtansicht'!U81</f>
        <v>0</v>
      </c>
      <c r="E70" s="654" t="str">
        <f t="shared" si="2"/>
        <v>O.K.</v>
      </c>
      <c r="F70" s="655"/>
    </row>
    <row r="71" spans="2:6" ht="12.75" customHeight="1" outlineLevel="1">
      <c r="B71" s="851" t="str">
        <f>'KTR-Ausweis Gesamtansicht'!V10</f>
        <v>Geriatrische Rehab. 
ZMT ZV</v>
      </c>
      <c r="C71" s="849"/>
      <c r="D71" s="538">
        <f>'KTR-Ausweis Gesamtansicht'!V81</f>
        <v>0</v>
      </c>
      <c r="E71" s="654" t="str">
        <f t="shared" si="2"/>
        <v>O.K.</v>
      </c>
      <c r="F71" s="655"/>
    </row>
    <row r="72" spans="2:6" ht="12.75" customHeight="1" outlineLevel="1">
      <c r="B72" s="851" t="str">
        <f>'KTR-Ausweis Gesamtansicht'!W10</f>
        <v xml:space="preserve">Kardiovask. Rehab. 
rein stat. KVG </v>
      </c>
      <c r="C72" s="849"/>
      <c r="D72" s="538">
        <f>'KTR-Ausweis Gesamtansicht'!W81</f>
        <v>0</v>
      </c>
      <c r="E72" s="654" t="str">
        <f t="shared" si="2"/>
        <v>O.K.</v>
      </c>
      <c r="F72" s="655"/>
    </row>
    <row r="73" spans="2:6" ht="12.75" customHeight="1" outlineLevel="1">
      <c r="B73" s="851" t="str">
        <f>'KTR-Ausweis Gesamtansicht'!X10</f>
        <v xml:space="preserve">Kardiovask. Rehab. 
ZV KVG </v>
      </c>
      <c r="C73" s="849"/>
      <c r="D73" s="538">
        <f>'KTR-Ausweis Gesamtansicht'!X81</f>
        <v>0</v>
      </c>
      <c r="E73" s="654" t="str">
        <f t="shared" si="2"/>
        <v>O.K.</v>
      </c>
      <c r="F73" s="655"/>
    </row>
    <row r="74" spans="2:6" ht="12.75" customHeight="1" outlineLevel="1">
      <c r="B74" s="851" t="str">
        <f>'KTR-Ausweis Gesamtansicht'!Y10</f>
        <v xml:space="preserve">Kardiovask. Rehab. 
ZMT </v>
      </c>
      <c r="C74" s="849"/>
      <c r="D74" s="538">
        <f>'KTR-Ausweis Gesamtansicht'!Y81</f>
        <v>0</v>
      </c>
      <c r="E74" s="654" t="str">
        <f t="shared" si="2"/>
        <v>O.K.</v>
      </c>
      <c r="F74" s="655"/>
    </row>
    <row r="75" spans="2:6" ht="12.75" customHeight="1" outlineLevel="1">
      <c r="B75" s="851" t="str">
        <f>'KTR-Ausweis Gesamtansicht'!Z10</f>
        <v>Kardiovask. Rehab. 
ZMT ZV</v>
      </c>
      <c r="C75" s="849"/>
      <c r="D75" s="538">
        <f>'KTR-Ausweis Gesamtansicht'!Z81</f>
        <v>0</v>
      </c>
      <c r="E75" s="654" t="str">
        <f t="shared" si="2"/>
        <v>O.K.</v>
      </c>
      <c r="F75" s="655"/>
    </row>
    <row r="76" spans="2:6" ht="12.75" customHeight="1" outlineLevel="1">
      <c r="B76" s="851" t="str">
        <f>'KTR-Ausweis Gesamtansicht'!AA10</f>
        <v xml:space="preserve">Muskulosk. Rehab. 
rein stat. KVG </v>
      </c>
      <c r="C76" s="849"/>
      <c r="D76" s="538">
        <f>'KTR-Ausweis Gesamtansicht'!AA81</f>
        <v>0</v>
      </c>
      <c r="E76" s="654" t="str">
        <f t="shared" si="2"/>
        <v>O.K.</v>
      </c>
      <c r="F76" s="655"/>
    </row>
    <row r="77" spans="2:6" ht="12.75" customHeight="1" outlineLevel="1">
      <c r="B77" s="851" t="str">
        <f>'KTR-Ausweis Gesamtansicht'!AB10</f>
        <v xml:space="preserve">Muskulosk. Rehab. 
ZV KVG </v>
      </c>
      <c r="C77" s="849"/>
      <c r="D77" s="538">
        <f>'KTR-Ausweis Gesamtansicht'!AB81</f>
        <v>0</v>
      </c>
      <c r="E77" s="654" t="str">
        <f t="shared" si="2"/>
        <v>O.K.</v>
      </c>
      <c r="F77" s="655"/>
    </row>
    <row r="78" spans="2:6" ht="12.75" customHeight="1" outlineLevel="1">
      <c r="B78" s="851" t="str">
        <f>'KTR-Ausweis Gesamtansicht'!AC10</f>
        <v xml:space="preserve">Muskulosk. Rehab. 
ZMT </v>
      </c>
      <c r="C78" s="849"/>
      <c r="D78" s="538">
        <f>'KTR-Ausweis Gesamtansicht'!AC81</f>
        <v>0</v>
      </c>
      <c r="E78" s="654" t="str">
        <f t="shared" si="2"/>
        <v>O.K.</v>
      </c>
      <c r="F78" s="655"/>
    </row>
    <row r="79" spans="2:6" ht="12.75" customHeight="1" outlineLevel="1">
      <c r="B79" s="851" t="str">
        <f>'KTR-Ausweis Gesamtansicht'!AD10</f>
        <v>Muskulosk. Rehab. 
ZMT ZV</v>
      </c>
      <c r="C79" s="849"/>
      <c r="D79" s="538">
        <f>'KTR-Ausweis Gesamtansicht'!AD81</f>
        <v>0</v>
      </c>
      <c r="E79" s="654" t="str">
        <f t="shared" si="2"/>
        <v>O.K.</v>
      </c>
      <c r="F79" s="655"/>
    </row>
    <row r="80" spans="2:6" ht="12.75" customHeight="1" outlineLevel="1">
      <c r="B80" s="851" t="str">
        <f>'KTR-Ausweis Gesamtansicht'!AE10</f>
        <v xml:space="preserve">Neuro. Rehab. 
rein stat. KVG </v>
      </c>
      <c r="C80" s="849"/>
      <c r="D80" s="538">
        <f>'KTR-Ausweis Gesamtansicht'!AE81</f>
        <v>0</v>
      </c>
      <c r="E80" s="654" t="str">
        <f t="shared" si="2"/>
        <v>O.K.</v>
      </c>
      <c r="F80" s="655"/>
    </row>
    <row r="81" spans="2:6" ht="12.75" customHeight="1" outlineLevel="1">
      <c r="B81" s="851" t="str">
        <f>'KTR-Ausweis Gesamtansicht'!AF10</f>
        <v xml:space="preserve">Neuro. Rehab. 
ZV KVG </v>
      </c>
      <c r="C81" s="849"/>
      <c r="D81" s="538">
        <f>'KTR-Ausweis Gesamtansicht'!AF81</f>
        <v>0</v>
      </c>
      <c r="E81" s="654" t="str">
        <f t="shared" si="2"/>
        <v>O.K.</v>
      </c>
      <c r="F81" s="655"/>
    </row>
    <row r="82" spans="2:6" ht="12.75" customHeight="1" outlineLevel="1">
      <c r="B82" s="851" t="str">
        <f>'KTR-Ausweis Gesamtansicht'!AG10</f>
        <v xml:space="preserve">Neuro. Rehab. 
ZMT </v>
      </c>
      <c r="C82" s="849"/>
      <c r="D82" s="538">
        <f>'KTR-Ausweis Gesamtansicht'!AG81</f>
        <v>0</v>
      </c>
      <c r="E82" s="654" t="str">
        <f t="shared" si="2"/>
        <v>O.K.</v>
      </c>
      <c r="F82" s="655"/>
    </row>
    <row r="83" spans="2:6" ht="12.75" customHeight="1" outlineLevel="1">
      <c r="B83" s="851" t="str">
        <f>'KTR-Ausweis Gesamtansicht'!AH10</f>
        <v>Neuro. Rehab. 
ZMT ZV</v>
      </c>
      <c r="C83" s="849"/>
      <c r="D83" s="538">
        <f>'KTR-Ausweis Gesamtansicht'!AH81</f>
        <v>0</v>
      </c>
      <c r="E83" s="654" t="str">
        <f t="shared" si="2"/>
        <v>O.K.</v>
      </c>
      <c r="F83" s="655"/>
    </row>
    <row r="84" spans="2:6" ht="12.75" customHeight="1" outlineLevel="1">
      <c r="B84" s="851" t="str">
        <f>'KTR-Ausweis Gesamtansicht'!AI10</f>
        <v xml:space="preserve">Pulmonale Rehab. 
rein stat. KVG </v>
      </c>
      <c r="C84" s="849"/>
      <c r="D84" s="538">
        <f>'KTR-Ausweis Gesamtansicht'!AI81</f>
        <v>0</v>
      </c>
      <c r="E84" s="654" t="str">
        <f t="shared" si="2"/>
        <v>O.K.</v>
      </c>
      <c r="F84" s="655"/>
    </row>
    <row r="85" spans="2:6" ht="12.75" customHeight="1" outlineLevel="1">
      <c r="B85" s="851" t="str">
        <f>'KTR-Ausweis Gesamtansicht'!AJ10</f>
        <v xml:space="preserve">Pulmonale Rehab. 
ZV KVG </v>
      </c>
      <c r="C85" s="849"/>
      <c r="D85" s="538">
        <f>'KTR-Ausweis Gesamtansicht'!AJ81</f>
        <v>0</v>
      </c>
      <c r="E85" s="654" t="str">
        <f t="shared" si="2"/>
        <v>O.K.</v>
      </c>
      <c r="F85" s="655"/>
    </row>
    <row r="86" spans="2:6" ht="12.75" customHeight="1" outlineLevel="1">
      <c r="B86" s="851" t="str">
        <f>'KTR-Ausweis Gesamtansicht'!AK10</f>
        <v xml:space="preserve">Pulmonale Rehab. 
ZMT </v>
      </c>
      <c r="C86" s="849"/>
      <c r="D86" s="538">
        <f>'KTR-Ausweis Gesamtansicht'!AK81</f>
        <v>0</v>
      </c>
      <c r="E86" s="654" t="str">
        <f t="shared" si="2"/>
        <v>O.K.</v>
      </c>
      <c r="F86" s="655"/>
    </row>
    <row r="87" spans="2:6" ht="12.75" customHeight="1" outlineLevel="1">
      <c r="B87" s="851" t="str">
        <f>'KTR-Ausweis Gesamtansicht'!AL10</f>
        <v>Pulmonale Rehab. 
ZMT ZV</v>
      </c>
      <c r="C87" s="849"/>
      <c r="D87" s="538">
        <f>'KTR-Ausweis Gesamtansicht'!AL81</f>
        <v>0</v>
      </c>
      <c r="E87" s="654" t="str">
        <f t="shared" si="2"/>
        <v>O.K.</v>
      </c>
      <c r="F87" s="655"/>
    </row>
    <row r="88" spans="2:6" ht="12.75" customHeight="1" outlineLevel="1">
      <c r="B88" s="851" t="str">
        <f>'KTR-Ausweis Gesamtansicht'!AM10</f>
        <v xml:space="preserve">Pädiatrische Rehab. 
rein stat. KVG </v>
      </c>
      <c r="C88" s="849"/>
      <c r="D88" s="538">
        <f>'KTR-Ausweis Gesamtansicht'!AM81</f>
        <v>0</v>
      </c>
      <c r="E88" s="654" t="str">
        <f t="shared" si="2"/>
        <v>O.K.</v>
      </c>
      <c r="F88" s="655"/>
    </row>
    <row r="89" spans="2:6" ht="12.75" customHeight="1" outlineLevel="1">
      <c r="B89" s="851" t="str">
        <f>'KTR-Ausweis Gesamtansicht'!AN10</f>
        <v xml:space="preserve">Pädiatrische Rehab. 
ZV KVG </v>
      </c>
      <c r="C89" s="849"/>
      <c r="D89" s="538">
        <f>'KTR-Ausweis Gesamtansicht'!AN81</f>
        <v>0</v>
      </c>
      <c r="E89" s="654" t="str">
        <f t="shared" si="2"/>
        <v>O.K.</v>
      </c>
      <c r="F89" s="655"/>
    </row>
    <row r="90" spans="2:6" ht="12.75" customHeight="1" outlineLevel="1">
      <c r="B90" s="851" t="str">
        <f>'KTR-Ausweis Gesamtansicht'!AO10</f>
        <v xml:space="preserve">Pädiatrische Rehab. 
ZMT </v>
      </c>
      <c r="C90" s="849"/>
      <c r="D90" s="538">
        <f>'KTR-Ausweis Gesamtansicht'!AO81</f>
        <v>0</v>
      </c>
      <c r="E90" s="654" t="str">
        <f t="shared" si="2"/>
        <v>O.K.</v>
      </c>
      <c r="F90" s="655"/>
    </row>
    <row r="91" spans="2:6" ht="12.75" customHeight="1" outlineLevel="1">
      <c r="B91" s="851" t="str">
        <f>'KTR-Ausweis Gesamtansicht'!AP10</f>
        <v>Pädiatrische Rehab. 
ZMT ZV</v>
      </c>
      <c r="C91" s="849"/>
      <c r="D91" s="538">
        <f>'KTR-Ausweis Gesamtansicht'!AP81</f>
        <v>0</v>
      </c>
      <c r="E91" s="654" t="str">
        <f t="shared" si="2"/>
        <v>O.K.</v>
      </c>
      <c r="F91" s="655"/>
    </row>
    <row r="92" spans="2:6" ht="12.75" customHeight="1" outlineLevel="1">
      <c r="B92" s="851" t="str">
        <f>'KTR-Ausweis Gesamtansicht'!BD10</f>
        <v>weiterer stat. Reha-Tarif grundv.</v>
      </c>
      <c r="C92" s="849"/>
      <c r="D92" s="538">
        <f>'KTR-Ausweis Gesamtansicht'!BD81</f>
        <v>0</v>
      </c>
      <c r="E92" s="654" t="str">
        <f t="shared" si="2"/>
        <v>O.K.</v>
      </c>
      <c r="F92" s="655"/>
    </row>
    <row r="93" spans="2:6" s="541" customFormat="1">
      <c r="B93" s="851" t="str">
        <f>'KTR-Ausweis Gesamtansicht'!BE10</f>
        <v>weiterer stat. Reha-Tarif ZV</v>
      </c>
      <c r="C93" s="849"/>
      <c r="D93" s="538">
        <f>'KTR-Ausweis Gesamtansicht'!BE81</f>
        <v>0</v>
      </c>
      <c r="E93" s="654" t="str">
        <f t="shared" si="2"/>
        <v>O.K.</v>
      </c>
      <c r="F93" s="655"/>
    </row>
    <row r="94" spans="2:6" ht="12.75" customHeight="1" outlineLevel="1">
      <c r="B94" s="852" t="str">
        <f>'KTR-Ausweis Gesamtansicht'!BF10</f>
        <v>Total Rehabilitation stationär</v>
      </c>
      <c r="C94" s="853"/>
      <c r="D94" s="537">
        <f>'KTR-Ausweis Gesamtansicht'!BF81</f>
        <v>0</v>
      </c>
      <c r="E94" s="542" t="str">
        <f t="shared" si="2"/>
        <v>O.K.</v>
      </c>
      <c r="F94" s="543"/>
    </row>
    <row r="95" spans="2:6" ht="12.75" customHeight="1" outlineLevel="1">
      <c r="B95" s="851" t="str">
        <f>'KTR-Ausweis Gesamtansicht'!BG10</f>
        <v>rein stat. KVG Fälle 
Erw. Psychi</v>
      </c>
      <c r="C95" s="849"/>
      <c r="D95" s="538">
        <f>'KTR-Ausweis Gesamtansicht'!BG81</f>
        <v>0</v>
      </c>
      <c r="E95" s="654" t="str">
        <f t="shared" si="2"/>
        <v>O.K.</v>
      </c>
      <c r="F95" s="655"/>
    </row>
    <row r="96" spans="2:6" ht="12.75" customHeight="1" outlineLevel="1">
      <c r="B96" s="851" t="str">
        <f>'KTR-Ausweis Gesamtansicht'!BH10</f>
        <v>stat. Tarif KVG ZV 
Erw. Psychi</v>
      </c>
      <c r="C96" s="849"/>
      <c r="D96" s="538">
        <f>'KTR-Ausweis Gesamtansicht'!BH81</f>
        <v>0</v>
      </c>
      <c r="E96" s="654" t="str">
        <f t="shared" si="2"/>
        <v>O.K.</v>
      </c>
      <c r="F96" s="655"/>
    </row>
    <row r="97" spans="2:6" ht="12.75" customHeight="1" outlineLevel="1">
      <c r="B97" s="851" t="str">
        <f>'KTR-Ausweis Gesamtansicht'!BI10</f>
        <v>stat. 
Tarif ZMT 
Erw. Psychi</v>
      </c>
      <c r="C97" s="849"/>
      <c r="D97" s="538">
        <f>'KTR-Ausweis Gesamtansicht'!BI81</f>
        <v>0</v>
      </c>
      <c r="E97" s="654" t="str">
        <f t="shared" si="2"/>
        <v>O.K.</v>
      </c>
      <c r="F97" s="655"/>
    </row>
    <row r="98" spans="2:6" ht="12.75" customHeight="1" outlineLevel="1">
      <c r="B98" s="851" t="str">
        <f>'KTR-Ausweis Gesamtansicht'!BJ10</f>
        <v>stat. Tarif ZMT ZV 
Erw. Psychi</v>
      </c>
      <c r="C98" s="849"/>
      <c r="D98" s="538">
        <f>'KTR-Ausweis Gesamtansicht'!BJ81</f>
        <v>0</v>
      </c>
      <c r="E98" s="654" t="str">
        <f t="shared" si="2"/>
        <v>O.K.</v>
      </c>
      <c r="F98" s="655"/>
    </row>
    <row r="99" spans="2:6" ht="12.75" customHeight="1" outlineLevel="1">
      <c r="B99" s="851" t="str">
        <f>'KTR-Ausweis Gesamtansicht'!BK10</f>
        <v>übrige Selbstzahler 
Erw. Psychi</v>
      </c>
      <c r="C99" s="849"/>
      <c r="D99" s="538">
        <f>'KTR-Ausweis Gesamtansicht'!BK81</f>
        <v>0</v>
      </c>
      <c r="E99" s="654" t="str">
        <f t="shared" si="2"/>
        <v>O.K.</v>
      </c>
      <c r="F99" s="655"/>
    </row>
    <row r="100" spans="2:6" ht="12.75" customHeight="1" outlineLevel="1">
      <c r="B100" s="851" t="str">
        <f>'KTR-Ausweis Gesamtansicht'!BL10</f>
        <v>rein stat. KVG Fälle 
Kinder Psychi</v>
      </c>
      <c r="C100" s="849"/>
      <c r="D100" s="538">
        <f>'KTR-Ausweis Gesamtansicht'!BL81</f>
        <v>0</v>
      </c>
      <c r="E100" s="654" t="str">
        <f t="shared" si="2"/>
        <v>O.K.</v>
      </c>
      <c r="F100" s="655"/>
    </row>
    <row r="101" spans="2:6" ht="12.75" customHeight="1" outlineLevel="1">
      <c r="B101" s="848" t="str">
        <f>'KTR-Ausweis Gesamtansicht'!BM10</f>
        <v>stat. Tarif KVG ZV 
Kinder Psychi</v>
      </c>
      <c r="C101" s="849"/>
      <c r="D101" s="538">
        <f>'KTR-Ausweis Gesamtansicht'!BM81</f>
        <v>0</v>
      </c>
      <c r="E101" s="654" t="str">
        <f t="shared" si="2"/>
        <v>O.K.</v>
      </c>
      <c r="F101" s="655"/>
    </row>
    <row r="102" spans="2:6" ht="12.75" customHeight="1" outlineLevel="1">
      <c r="B102" s="851" t="str">
        <f>'KTR-Ausweis Gesamtansicht'!BN10</f>
        <v>stati.
Tarif ZMT 
Kinder Psychi</v>
      </c>
      <c r="C102" s="849"/>
      <c r="D102" s="538">
        <f>'KTR-Ausweis Gesamtansicht'!BN81</f>
        <v>0</v>
      </c>
      <c r="E102" s="654" t="str">
        <f t="shared" si="2"/>
        <v>O.K.</v>
      </c>
      <c r="F102" s="655"/>
    </row>
    <row r="103" spans="2:6" ht="12.75" customHeight="1" outlineLevel="1">
      <c r="B103" s="851" t="str">
        <f>'KTR-Ausweis Gesamtansicht'!BO10</f>
        <v>stat. Tarif ZMT ZV 
Kinder Psychi</v>
      </c>
      <c r="C103" s="849"/>
      <c r="D103" s="538">
        <f>'KTR-Ausweis Gesamtansicht'!BO81</f>
        <v>0</v>
      </c>
      <c r="E103" s="654" t="str">
        <f t="shared" si="2"/>
        <v>O.K.</v>
      </c>
      <c r="F103" s="655"/>
    </row>
    <row r="104" spans="2:6" ht="12.75" customHeight="1" outlineLevel="1">
      <c r="B104" s="851" t="str">
        <f>'KTR-Ausweis Gesamtansicht'!BP10</f>
        <v>übrige Selbstzahler 
Kinder Psychi</v>
      </c>
      <c r="C104" s="849"/>
      <c r="D104" s="538">
        <f>'KTR-Ausweis Gesamtansicht'!BP81</f>
        <v>0</v>
      </c>
      <c r="E104" s="654" t="str">
        <f t="shared" si="2"/>
        <v>O.K.</v>
      </c>
      <c r="F104" s="655"/>
    </row>
    <row r="105" spans="2:6" ht="12.75" customHeight="1" outlineLevel="1">
      <c r="B105" s="851" t="str">
        <f>'KTR-Ausweis Gesamtansicht'!BQ10</f>
        <v>weiterer stat. Psychitarif grundv.</v>
      </c>
      <c r="C105" s="849"/>
      <c r="D105" s="538">
        <f>'KTR-Ausweis Gesamtansicht'!BQ81</f>
        <v>0</v>
      </c>
      <c r="E105" s="654" t="str">
        <f t="shared" si="2"/>
        <v>O.K.</v>
      </c>
      <c r="F105" s="655"/>
    </row>
    <row r="106" spans="2:6" s="541" customFormat="1">
      <c r="B106" s="851" t="str">
        <f>'KTR-Ausweis Gesamtansicht'!BR10</f>
        <v>weiterer stat. Psychitarif ZV</v>
      </c>
      <c r="C106" s="849"/>
      <c r="D106" s="538">
        <f>'KTR-Ausweis Gesamtansicht'!BR81</f>
        <v>0</v>
      </c>
      <c r="E106" s="654" t="str">
        <f t="shared" si="2"/>
        <v>O.K.</v>
      </c>
      <c r="F106" s="655"/>
    </row>
    <row r="107" spans="2:6" ht="12.75" customHeight="1" outlineLevel="1">
      <c r="B107" s="852" t="str">
        <f>'KTR-Ausweis Gesamtansicht'!BS10</f>
        <v>Total 
Psychiatrie stationär</v>
      </c>
      <c r="C107" s="853"/>
      <c r="D107" s="537">
        <f>'KTR-Ausweis Gesamtansicht'!BS81</f>
        <v>0</v>
      </c>
      <c r="E107" s="542" t="str">
        <f t="shared" si="2"/>
        <v>O.K.</v>
      </c>
      <c r="F107" s="543"/>
    </row>
    <row r="108" spans="2:6" ht="12.75" customHeight="1" outlineLevel="1">
      <c r="B108" s="851" t="str">
        <f>'KTR-Ausweis Gesamtansicht'!BX10</f>
        <v>Tageskliniken Psychiatrie</v>
      </c>
      <c r="C108" s="849"/>
      <c r="D108" s="538">
        <f>'KTR-Ausweis Gesamtansicht'!BX81</f>
        <v>0</v>
      </c>
      <c r="E108" s="654" t="str">
        <f t="shared" si="2"/>
        <v>O.K.</v>
      </c>
      <c r="F108" s="655"/>
    </row>
    <row r="109" spans="2:6" ht="12.75" customHeight="1" outlineLevel="1">
      <c r="B109" s="851" t="str">
        <f>'KTR-Ausweis Gesamtansicht'!BY10</f>
        <v>Tagesklinik Psycho-geriatrie</v>
      </c>
      <c r="C109" s="849"/>
      <c r="D109" s="538">
        <f>'KTR-Ausweis Gesamtansicht'!BY81</f>
        <v>0</v>
      </c>
      <c r="E109" s="654" t="str">
        <f t="shared" si="2"/>
        <v>O.K.</v>
      </c>
      <c r="F109" s="655"/>
    </row>
    <row r="110" spans="2:6" ht="12.75" customHeight="1" outlineLevel="1">
      <c r="B110" s="851" t="str">
        <f>'KTR-Ausweis Gesamtansicht'!BZ10</f>
        <v>Tagesklinik Alkohol-behandlung</v>
      </c>
      <c r="C110" s="849"/>
      <c r="D110" s="538">
        <f>'KTR-Ausweis Gesamtansicht'!BZ81</f>
        <v>0</v>
      </c>
      <c r="E110" s="654" t="str">
        <f t="shared" si="2"/>
        <v>O.K.</v>
      </c>
      <c r="F110" s="655"/>
    </row>
    <row r="111" spans="2:6" ht="12.75" customHeight="1" outlineLevel="1">
      <c r="B111" s="851" t="str">
        <f>'KTR-Ausweis Gesamtansicht'!CA10</f>
        <v>Tagesklinik Suchtbehandlung</v>
      </c>
      <c r="C111" s="849"/>
      <c r="D111" s="538">
        <f>'KTR-Ausweis Gesamtansicht'!CA81</f>
        <v>0</v>
      </c>
      <c r="E111" s="654" t="str">
        <f t="shared" si="2"/>
        <v>O.K.</v>
      </c>
      <c r="F111" s="655"/>
    </row>
    <row r="112" spans="2:6" ht="12.75" customHeight="1" outlineLevel="1">
      <c r="B112" s="851" t="str">
        <f>'KTR-Ausweis Gesamtansicht'!CB10</f>
        <v>Tagesklinik Kinder-&amp; Jugendpsychiatrie</v>
      </c>
      <c r="C112" s="849"/>
      <c r="D112" s="538">
        <f>'KTR-Ausweis Gesamtansicht'!CB81</f>
        <v>0</v>
      </c>
      <c r="E112" s="654" t="str">
        <f t="shared" si="2"/>
        <v>O.K.</v>
      </c>
      <c r="F112" s="655"/>
    </row>
    <row r="113" spans="2:7" ht="12.75" customHeight="1" outlineLevel="1">
      <c r="B113" s="851" t="str">
        <f>'KTR-Ausweis Gesamtansicht'!CC10</f>
        <v>Akuttagesklinik Psychiatrie</v>
      </c>
      <c r="C113" s="849"/>
      <c r="D113" s="538">
        <f>'KTR-Ausweis Gesamtansicht'!CC81</f>
        <v>0</v>
      </c>
      <c r="E113" s="654" t="str">
        <f t="shared" si="2"/>
        <v>O.K.</v>
      </c>
      <c r="F113" s="655"/>
    </row>
    <row r="114" spans="2:7" s="541" customFormat="1">
      <c r="B114" s="851" t="str">
        <f>'KTR-Ausweis Gesamtansicht'!CD10</f>
        <v>Nachtklinik Psychiatrie</v>
      </c>
      <c r="C114" s="849"/>
      <c r="D114" s="538">
        <f>'KTR-Ausweis Gesamtansicht'!CD81</f>
        <v>0</v>
      </c>
      <c r="E114" s="654" t="str">
        <f t="shared" si="2"/>
        <v>O.K.</v>
      </c>
      <c r="F114" s="655"/>
    </row>
    <row r="115" spans="2:7">
      <c r="B115" s="852" t="str">
        <f>'KTR-Ausweis Gesamtansicht'!CE10</f>
        <v>Total 
Tageskliniken Psychiatrie</v>
      </c>
      <c r="C115" s="853"/>
      <c r="D115" s="537">
        <f>'KTR-Ausweis Gesamtansicht'!CE81</f>
        <v>0</v>
      </c>
      <c r="E115" s="542" t="str">
        <f t="shared" si="2"/>
        <v>O.K.</v>
      </c>
      <c r="F115" s="543"/>
    </row>
    <row r="116" spans="2:7">
      <c r="B116" s="851" t="str">
        <f>'KTR-Ausweis Gesamtansicht'!BT10</f>
        <v>geriatrische Langzeit
stationär</v>
      </c>
      <c r="C116" s="849"/>
      <c r="D116" s="538">
        <f>'KTR-Ausweis Gesamtansicht'!BT81</f>
        <v>0</v>
      </c>
      <c r="E116" s="654" t="str">
        <f t="shared" si="2"/>
        <v>O.K.</v>
      </c>
      <c r="F116" s="655"/>
    </row>
    <row r="117" spans="2:7">
      <c r="B117" s="848" t="str">
        <f>'KTR-Ausweis Gesamtansicht'!BU10</f>
        <v>Palliativ
stationär</v>
      </c>
      <c r="C117" s="849"/>
      <c r="D117" s="538">
        <f>'KTR-Ausweis Gesamtansicht'!BU81</f>
        <v>0</v>
      </c>
      <c r="E117" s="654" t="str">
        <f t="shared" si="2"/>
        <v>O.K.</v>
      </c>
      <c r="F117" s="655"/>
    </row>
    <row r="118" spans="2:7">
      <c r="B118" s="848" t="str">
        <f>'KTR-Ausweis Gesamtansicht'!BV10</f>
        <v>weitere Tarife (z. B. SVK)
stationär</v>
      </c>
      <c r="C118" s="849"/>
      <c r="D118" s="538">
        <f>'KTR-Ausweis Gesamtansicht'!BV81</f>
        <v>0</v>
      </c>
      <c r="E118" s="654" t="str">
        <f t="shared" si="2"/>
        <v>O.K.</v>
      </c>
      <c r="F118" s="655"/>
    </row>
    <row r="119" spans="2:7">
      <c r="B119" s="851" t="str">
        <f>'KTR-Ausweis Gesamtansicht'!CG10</f>
        <v>übrige Aufträge an Dritte, inkl. GWL</v>
      </c>
      <c r="C119" s="849"/>
      <c r="D119" s="538">
        <f>'KTR-Ausweis Gesamtansicht'!CG81</f>
        <v>0</v>
      </c>
      <c r="E119" s="654" t="str">
        <f t="shared" si="2"/>
        <v>O.K.</v>
      </c>
      <c r="F119" s="655"/>
    </row>
    <row r="120" spans="2:7">
      <c r="B120" s="851" t="str">
        <f>'KTR-Ausweis Gesamtansicht'!CK10</f>
        <v>Tarif 
TARMED</v>
      </c>
      <c r="C120" s="849"/>
      <c r="D120" s="538">
        <f>'KTR-Ausweis Gesamtansicht'!CK81</f>
        <v>0</v>
      </c>
      <c r="E120" s="654" t="str">
        <f t="shared" si="2"/>
        <v>O.K.</v>
      </c>
      <c r="F120" s="655"/>
    </row>
    <row r="121" spans="2:7">
      <c r="B121" s="851" t="str">
        <f>'KTR-Ausweis Gesamtansicht'!CL10</f>
        <v>Tarif 
Labor</v>
      </c>
      <c r="C121" s="849"/>
      <c r="D121" s="538">
        <f>'KTR-Ausweis Gesamtansicht'!CL81</f>
        <v>0</v>
      </c>
      <c r="E121" s="654" t="str">
        <f t="shared" si="2"/>
        <v>O.K.</v>
      </c>
      <c r="F121" s="655"/>
    </row>
    <row r="122" spans="2:7">
      <c r="B122" s="851" t="str">
        <f>'KTR-Ausweis Gesamtansicht'!CM10</f>
        <v>Tarif 
Physio</v>
      </c>
      <c r="C122" s="849"/>
      <c r="D122" s="538">
        <f>'KTR-Ausweis Gesamtansicht'!CM81</f>
        <v>0</v>
      </c>
      <c r="E122" s="654" t="str">
        <f t="shared" si="2"/>
        <v>O.K.</v>
      </c>
      <c r="F122" s="655"/>
    </row>
    <row r="123" spans="2:7">
      <c r="B123" s="848" t="str">
        <f>'KTR-Ausweis Gesamtansicht'!CN10</f>
        <v>Tarif 
Ergo-therapie</v>
      </c>
      <c r="C123" s="849"/>
      <c r="D123" s="538">
        <f>'KTR-Ausweis Gesamtansicht'!CN81</f>
        <v>0</v>
      </c>
      <c r="E123" s="654" t="str">
        <f t="shared" si="2"/>
        <v>O.K.</v>
      </c>
      <c r="F123" s="655"/>
    </row>
    <row r="124" spans="2:7">
      <c r="B124" s="848" t="str">
        <f>'KTR-Ausweis Gesamtansicht'!CO10</f>
        <v>Tarif Ernähr/
Diab/Logo</v>
      </c>
      <c r="C124" s="849"/>
      <c r="D124" s="538">
        <f>'KTR-Ausweis Gesamtansicht'!CO81</f>
        <v>0</v>
      </c>
      <c r="E124" s="654" t="str">
        <f t="shared" si="2"/>
        <v>O.K.</v>
      </c>
      <c r="F124" s="655"/>
    </row>
    <row r="125" spans="2:7">
      <c r="B125" s="848" t="str">
        <f>'KTR-Ausweis Gesamtansicht'!CP10</f>
        <v>Tarif 
Zahnarzt SSO</v>
      </c>
      <c r="C125" s="849"/>
      <c r="D125" s="538">
        <f>'KTR-Ausweis Gesamtansicht'!CP81</f>
        <v>0</v>
      </c>
      <c r="E125" s="654" t="str">
        <f t="shared" si="2"/>
        <v>O.K.</v>
      </c>
      <c r="F125" s="655"/>
    </row>
    <row r="126" spans="2:7">
      <c r="B126" s="851" t="str">
        <f>'KTR-Ausweis Gesamtansicht'!CQ10</f>
        <v>Tarif 
Zytostatika</v>
      </c>
      <c r="C126" s="849"/>
      <c r="D126" s="538">
        <f>'KTR-Ausweis Gesamtansicht'!CQ81</f>
        <v>0</v>
      </c>
      <c r="E126" s="654" t="str">
        <f t="shared" si="2"/>
        <v>O.K.</v>
      </c>
      <c r="F126" s="655"/>
    </row>
    <row r="127" spans="2:7">
      <c r="B127" s="851" t="str">
        <f>'KTR-Ausweis Gesamtansicht'!CR10</f>
        <v>Tarif 
Dialyse</v>
      </c>
      <c r="C127" s="849"/>
      <c r="D127" s="538">
        <f>'KTR-Ausweis Gesamtansicht'!CR81</f>
        <v>0</v>
      </c>
      <c r="E127" s="654" t="str">
        <f>IF(D127&gt;21%,"Anlagenutzung sehr hoch, bitte prüfen",IF(D127=0,"O.K.",IF(D127&lt;7%,"Anlagenutzung sehr tief, bitte prüfen","O.K")))</f>
        <v>O.K.</v>
      </c>
      <c r="F127" s="655"/>
    </row>
    <row r="128" spans="2:7" s="327" customFormat="1" ht="26.25" customHeight="1">
      <c r="B128" s="851" t="str">
        <f>'KTR-Ausweis Gesamtansicht'!CS10</f>
        <v>Weitere, betriebsindiv. amb. Tarife</v>
      </c>
      <c r="C128" s="849"/>
      <c r="D128" s="538">
        <f>'KTR-Ausweis Gesamtansicht'!CS81</f>
        <v>0</v>
      </c>
      <c r="E128" s="654" t="str">
        <f>IF(D128&gt;21%,"Anlagenutzung sehr hoch, bitte prüfen",IF(D128=0,"O.K.",IF(D128&lt;7%,"Anlagenutzung sehr tief, bitte prüfen","O.K")))</f>
        <v>O.K.</v>
      </c>
      <c r="F128" s="655"/>
      <c r="G128" s="180"/>
    </row>
    <row r="129" spans="2:7" ht="12.75" customHeight="1" outlineLevel="1">
      <c r="B129" s="854" t="s">
        <v>559</v>
      </c>
      <c r="C129" s="855"/>
      <c r="D129" s="650"/>
      <c r="E129" s="1485"/>
      <c r="F129" s="1486"/>
    </row>
    <row r="130" spans="2:7" ht="15" customHeight="1" outlineLevel="1">
      <c r="B130" s="856" t="str">
        <f>'ITAR_K Gesamtansicht'!K49</f>
        <v>stationärer Tarif KVG</v>
      </c>
      <c r="C130" s="857"/>
      <c r="D130" s="651" t="e">
        <f>'ITAR_K Gesamtansicht'!K60</f>
        <v>#DIV/0!</v>
      </c>
      <c r="E130" s="652" t="e">
        <f>IF(D130&gt;5%,"Kosten je LE gegenüber VJ sehr hoch, bitte prüfen",IF(D130=0,"O.K.",IF(D130&lt;-5%,"Kosten je LE gegenüber VJ sehr tief, bitte prüfen","O.K")))</f>
        <v>#DIV/0!</v>
      </c>
      <c r="F130" s="653"/>
    </row>
    <row r="131" spans="2:7" ht="12.75" customHeight="1" outlineLevel="1">
      <c r="B131" s="858" t="str">
        <f>'ITAR_K Gesamtansicht'!N49</f>
        <v>stationärer Tarif ZMT</v>
      </c>
      <c r="C131" s="859"/>
      <c r="D131" s="538" t="e">
        <f>'ITAR_K Gesamtansicht'!N60</f>
        <v>#DIV/0!</v>
      </c>
      <c r="E131" s="654" t="e">
        <f t="shared" ref="E131:E181" si="3">IF(D131&gt;5%,"Kosten je LE gegenüber VJ sehr hoch, bitte prüfen",IF(D131=0,"O.K.",IF(D131&lt;-5%,"Kosten je LE gegenüber VJ sehr tief, bitte prüfen","O.K")))</f>
        <v>#DIV/0!</v>
      </c>
      <c r="F131" s="655"/>
    </row>
    <row r="132" spans="2:7" ht="12.75" customHeight="1" outlineLevel="1">
      <c r="B132" s="860" t="str">
        <f>'ITAR_K Gesamtansicht'!O49</f>
        <v>übrige Selbstzahler</v>
      </c>
      <c r="C132" s="859"/>
      <c r="D132" s="538" t="e">
        <f>'ITAR_K Gesamtansicht'!O60</f>
        <v>#DIV/0!</v>
      </c>
      <c r="E132" s="654" t="e">
        <f t="shared" si="3"/>
        <v>#DIV/0!</v>
      </c>
      <c r="F132" s="655"/>
    </row>
    <row r="133" spans="2:7" s="541" customFormat="1" ht="12.75" customHeight="1">
      <c r="B133" s="858" t="str">
        <f>'ITAR_K Gesamtansicht'!Q49</f>
        <v>weiterer Tarif stationär</v>
      </c>
      <c r="C133" s="859"/>
      <c r="D133" s="538" t="e">
        <f>'ITAR_K Gesamtansicht'!Q60</f>
        <v>#DIV/0!</v>
      </c>
      <c r="E133" s="654" t="e">
        <f t="shared" si="3"/>
        <v>#DIV/0!</v>
      </c>
      <c r="F133" s="655"/>
      <c r="G133" s="180"/>
    </row>
    <row r="134" spans="2:7" ht="12.75" customHeight="1" outlineLevel="1">
      <c r="B134" s="861" t="str">
        <f>'ITAR_K Gesamtansicht'!R49</f>
        <v>Total akut
stationär, SwissDRG relevant</v>
      </c>
      <c r="C134" s="862"/>
      <c r="D134" s="537" t="e">
        <f>'ITAR_K Gesamtansicht'!R60</f>
        <v>#DIV/0!</v>
      </c>
      <c r="E134" s="542" t="e">
        <f t="shared" si="3"/>
        <v>#DIV/0!</v>
      </c>
      <c r="F134" s="543"/>
    </row>
    <row r="135" spans="2:7" ht="12.75" customHeight="1" outlineLevel="1">
      <c r="B135" s="858" t="str">
        <f>'ITAR_K Gesamtansicht'!T49</f>
        <v xml:space="preserve">Geriatrische Rehab. KVG </v>
      </c>
      <c r="C135" s="859"/>
      <c r="D135" s="538" t="e">
        <f>'ITAR_K Gesamtansicht'!T60</f>
        <v>#DIV/0!</v>
      </c>
      <c r="E135" s="654" t="e">
        <f t="shared" si="3"/>
        <v>#DIV/0!</v>
      </c>
      <c r="F135" s="655"/>
    </row>
    <row r="136" spans="2:7" ht="12.75" customHeight="1" outlineLevel="1">
      <c r="B136" s="858" t="str">
        <f>'ITAR_K Gesamtansicht'!V49</f>
        <v>Geriatrische Rehab. ZMT</v>
      </c>
      <c r="C136" s="859"/>
      <c r="D136" s="538" t="e">
        <f>'ITAR_K Gesamtansicht'!V60</f>
        <v>#DIV/0!</v>
      </c>
      <c r="E136" s="654" t="e">
        <f t="shared" si="3"/>
        <v>#DIV/0!</v>
      </c>
      <c r="F136" s="655"/>
    </row>
    <row r="137" spans="2:7" ht="12.75" customHeight="1" outlineLevel="1">
      <c r="B137" s="858" t="str">
        <f>'ITAR_K Gesamtansicht'!X49</f>
        <v xml:space="preserve">Kardiovask. Rehab. KVG </v>
      </c>
      <c r="C137" s="859"/>
      <c r="D137" s="538" t="e">
        <f>'ITAR_K Gesamtansicht'!X60</f>
        <v>#DIV/0!</v>
      </c>
      <c r="E137" s="654" t="e">
        <f t="shared" si="3"/>
        <v>#DIV/0!</v>
      </c>
      <c r="F137" s="655"/>
    </row>
    <row r="138" spans="2:7" ht="12.75" customHeight="1" outlineLevel="1">
      <c r="B138" s="858" t="str">
        <f>'ITAR_K Gesamtansicht'!Z49</f>
        <v xml:space="preserve">Kardiovask. Rehab. ZMT </v>
      </c>
      <c r="C138" s="859"/>
      <c r="D138" s="538" t="e">
        <f>'ITAR_K Gesamtansicht'!Z60</f>
        <v>#DIV/0!</v>
      </c>
      <c r="E138" s="654" t="e">
        <f t="shared" si="3"/>
        <v>#DIV/0!</v>
      </c>
      <c r="F138" s="655"/>
    </row>
    <row r="139" spans="2:7" ht="12.75" customHeight="1" outlineLevel="1">
      <c r="B139" s="848" t="str">
        <f>'ITAR_K Gesamtansicht'!AB49</f>
        <v xml:space="preserve">Muskulosk. Rehab. KVG </v>
      </c>
      <c r="C139" s="849"/>
      <c r="D139" s="538" t="e">
        <f>'ITAR_K Gesamtansicht'!AB60</f>
        <v>#DIV/0!</v>
      </c>
      <c r="E139" s="654" t="e">
        <f t="shared" si="3"/>
        <v>#DIV/0!</v>
      </c>
      <c r="F139" s="655"/>
    </row>
    <row r="140" spans="2:7" ht="12.75" customHeight="1" outlineLevel="1">
      <c r="B140" s="848" t="str">
        <f>'ITAR_K Gesamtansicht'!AD49</f>
        <v xml:space="preserve">Muskulosk. Rehab. ZMT </v>
      </c>
      <c r="C140" s="849"/>
      <c r="D140" s="538" t="e">
        <f>'ITAR_K Gesamtansicht'!AD60</f>
        <v>#DIV/0!</v>
      </c>
      <c r="E140" s="654" t="e">
        <f t="shared" si="3"/>
        <v>#DIV/0!</v>
      </c>
      <c r="F140" s="655"/>
    </row>
    <row r="141" spans="2:7" ht="12.75" customHeight="1" outlineLevel="1">
      <c r="B141" s="848" t="str">
        <f>'ITAR_K Gesamtansicht'!AF49</f>
        <v xml:space="preserve">Neuro. Rehab. KVG </v>
      </c>
      <c r="C141" s="849"/>
      <c r="D141" s="538" t="e">
        <f>'ITAR_K Gesamtansicht'!AF60</f>
        <v>#DIV/0!</v>
      </c>
      <c r="E141" s="654" t="e">
        <f t="shared" si="3"/>
        <v>#DIV/0!</v>
      </c>
      <c r="F141" s="655"/>
    </row>
    <row r="142" spans="2:7" ht="12.75" customHeight="1" outlineLevel="1">
      <c r="B142" s="848" t="str">
        <f>'ITAR_K Gesamtansicht'!AH49</f>
        <v xml:space="preserve">Neuro. Rehab. ZMT </v>
      </c>
      <c r="C142" s="849"/>
      <c r="D142" s="538" t="e">
        <f>'ITAR_K Gesamtansicht'!AH60</f>
        <v>#DIV/0!</v>
      </c>
      <c r="E142" s="654" t="e">
        <f t="shared" si="3"/>
        <v>#DIV/0!</v>
      </c>
      <c r="F142" s="655"/>
    </row>
    <row r="143" spans="2:7" ht="12.75" customHeight="1" outlineLevel="1">
      <c r="B143" s="848" t="str">
        <f>'ITAR_K Gesamtansicht'!AJ49</f>
        <v xml:space="preserve">Pulmonale Rehab. KVG </v>
      </c>
      <c r="C143" s="849"/>
      <c r="D143" s="538" t="e">
        <f>'ITAR_K Gesamtansicht'!AJ60</f>
        <v>#DIV/0!</v>
      </c>
      <c r="E143" s="654" t="e">
        <f t="shared" si="3"/>
        <v>#DIV/0!</v>
      </c>
      <c r="F143" s="655"/>
    </row>
    <row r="144" spans="2:7" ht="12.75" customHeight="1" outlineLevel="1">
      <c r="B144" s="848" t="str">
        <f>'ITAR_K Gesamtansicht'!AL49</f>
        <v>Pulmonale  Rehab. ZMT</v>
      </c>
      <c r="C144" s="849"/>
      <c r="D144" s="538" t="e">
        <f>'ITAR_K Gesamtansicht'!AL60</f>
        <v>#DIV/0!</v>
      </c>
      <c r="E144" s="654" t="e">
        <f t="shared" si="3"/>
        <v>#DIV/0!</v>
      </c>
      <c r="F144" s="655"/>
    </row>
    <row r="145" spans="2:6" ht="12.75" customHeight="1" outlineLevel="1">
      <c r="B145" s="848" t="str">
        <f>'ITAR_K Gesamtansicht'!AN49</f>
        <v xml:space="preserve">Pädiatrische Rehab. KVG </v>
      </c>
      <c r="C145" s="849"/>
      <c r="D145" s="538" t="e">
        <f>'ITAR_K Gesamtansicht'!AN60</f>
        <v>#DIV/0!</v>
      </c>
      <c r="E145" s="654" t="e">
        <f t="shared" si="3"/>
        <v>#DIV/0!</v>
      </c>
      <c r="F145" s="655"/>
    </row>
    <row r="146" spans="2:6" ht="12.75" customHeight="1" outlineLevel="1">
      <c r="B146" s="848" t="str">
        <f>'ITAR_K Gesamtansicht'!AP49</f>
        <v>Pädiatrische Rehab. Stat. ZMT</v>
      </c>
      <c r="C146" s="849"/>
      <c r="D146" s="538" t="e">
        <f>'ITAR_K Gesamtansicht'!AP60</f>
        <v>#DIV/0!</v>
      </c>
      <c r="E146" s="654" t="e">
        <f t="shared" si="3"/>
        <v>#DIV/0!</v>
      </c>
      <c r="F146" s="655"/>
    </row>
    <row r="147" spans="2:6" ht="12.75" customHeight="1" outlineLevel="1">
      <c r="B147" s="848" t="str">
        <f>'ITAR_K Gesamtansicht'!AR$49</f>
        <v>Internistische &amp; Onkologische Rehab. 
KVG</v>
      </c>
      <c r="C147" s="849"/>
      <c r="D147" s="538" t="e">
        <f>'ITAR_K Gesamtansicht'!AR60</f>
        <v>#DIV/0!</v>
      </c>
      <c r="E147" s="654" t="e">
        <f t="shared" si="3"/>
        <v>#DIV/0!</v>
      </c>
      <c r="F147" s="655"/>
    </row>
    <row r="148" spans="2:6" ht="12.75" customHeight="1" outlineLevel="1">
      <c r="B148" s="848" t="str">
        <f>'ITAR_K Gesamtansicht'!AT$49</f>
        <v>Internistische &amp; Onkologische Rehab. 
ZMT</v>
      </c>
      <c r="C148" s="849"/>
      <c r="D148" s="538" t="e">
        <f>'ITAR_K Gesamtansicht'!AT60</f>
        <v>#DIV/0!</v>
      </c>
      <c r="E148" s="654" t="e">
        <f t="shared" si="3"/>
        <v>#DIV/0!</v>
      </c>
      <c r="F148" s="655"/>
    </row>
    <row r="149" spans="2:6" ht="12.75" customHeight="1" outlineLevel="1">
      <c r="B149" s="848" t="str">
        <f>'ITAR_K Gesamtansicht'!AV49</f>
        <v>Paraplegiologische Rehab. KVG</v>
      </c>
      <c r="C149" s="849"/>
      <c r="D149" s="538" t="e">
        <f>'ITAR_K Gesamtansicht'!AV60</f>
        <v>#DIV/0!</v>
      </c>
      <c r="E149" s="654" t="e">
        <f t="shared" si="3"/>
        <v>#DIV/0!</v>
      </c>
      <c r="F149" s="655"/>
    </row>
    <row r="150" spans="2:6" ht="12.75" customHeight="1" outlineLevel="1">
      <c r="B150" s="848" t="str">
        <f>'ITAR_K Gesamtansicht'!AX49</f>
        <v>Paraplegiologische Rehab. ZMT</v>
      </c>
      <c r="C150" s="849"/>
      <c r="D150" s="538" t="e">
        <f>'ITAR_K Gesamtansicht'!AX60</f>
        <v>#DIV/0!</v>
      </c>
      <c r="E150" s="654" t="e">
        <f t="shared" si="3"/>
        <v>#DIV/0!</v>
      </c>
      <c r="F150" s="655"/>
    </row>
    <row r="151" spans="2:6" ht="12.75" customHeight="1" outlineLevel="1">
      <c r="B151" s="848" t="str">
        <f>'ITAR_K Gesamtansicht'!AZ49</f>
        <v>Psychosomatische Rehab. KVG</v>
      </c>
      <c r="C151" s="849"/>
      <c r="D151" s="538" t="e">
        <f>'ITAR_K Gesamtansicht'!AZ60</f>
        <v>#DIV/0!</v>
      </c>
      <c r="E151" s="654" t="e">
        <f t="shared" si="3"/>
        <v>#DIV/0!</v>
      </c>
      <c r="F151" s="655"/>
    </row>
    <row r="152" spans="2:6" ht="12.75" customHeight="1" outlineLevel="1">
      <c r="B152" s="848" t="str">
        <f>'ITAR_K Gesamtansicht'!BB49</f>
        <v>Psychosomatische Rehab. ZMT</v>
      </c>
      <c r="C152" s="849"/>
      <c r="D152" s="538" t="e">
        <f>'ITAR_K Gesamtansicht'!BB60</f>
        <v>#DIV/0!</v>
      </c>
      <c r="E152" s="654" t="e">
        <f t="shared" si="3"/>
        <v>#DIV/0!</v>
      </c>
      <c r="F152" s="655"/>
    </row>
    <row r="153" spans="2:6" s="541" customFormat="1">
      <c r="B153" s="848" t="str">
        <f>'ITAR_K Gesamtansicht'!BE49</f>
        <v xml:space="preserve">weiterer stat. Rehab. </v>
      </c>
      <c r="C153" s="849"/>
      <c r="D153" s="538" t="e">
        <f>'ITAR_K Gesamtansicht'!BE60</f>
        <v>#DIV/0!</v>
      </c>
      <c r="E153" s="654" t="e">
        <f t="shared" si="3"/>
        <v>#DIV/0!</v>
      </c>
      <c r="F153" s="655"/>
    </row>
    <row r="154" spans="2:6" ht="12.75" customHeight="1" outlineLevel="1">
      <c r="B154" s="869" t="str">
        <f>'ITAR_K Gesamtansicht'!BF49</f>
        <v>Total Rehabilitation stationär</v>
      </c>
      <c r="C154" s="853"/>
      <c r="D154" s="537" t="e">
        <f>'ITAR_K Gesamtansicht'!BF60</f>
        <v>#DIV/0!</v>
      </c>
      <c r="E154" s="542" t="e">
        <f t="shared" si="3"/>
        <v>#DIV/0!</v>
      </c>
      <c r="F154" s="543"/>
    </row>
    <row r="155" spans="2:6" ht="12.75" customHeight="1" outlineLevel="1">
      <c r="B155" s="848" t="str">
        <f>'ITAR_K Gesamtansicht'!BH49</f>
        <v>stat. Tarif KVG 
Erw. Psychi</v>
      </c>
      <c r="C155" s="849"/>
      <c r="D155" s="538" t="e">
        <f>'ITAR_K Gesamtansicht'!BH60</f>
        <v>#DIV/0!</v>
      </c>
      <c r="E155" s="654" t="e">
        <f t="shared" si="3"/>
        <v>#DIV/0!</v>
      </c>
      <c r="F155" s="655"/>
    </row>
    <row r="156" spans="2:6" ht="12.75" customHeight="1" outlineLevel="1">
      <c r="B156" s="848" t="str">
        <f>'ITAR_K Gesamtansicht'!BJ49</f>
        <v>stat. Tarif ZMT
Erw. Psychi</v>
      </c>
      <c r="C156" s="849"/>
      <c r="D156" s="538" t="e">
        <f>'ITAR_K Gesamtansicht'!BJ60</f>
        <v>#DIV/0!</v>
      </c>
      <c r="E156" s="654" t="e">
        <f t="shared" si="3"/>
        <v>#DIV/0!</v>
      </c>
      <c r="F156" s="655"/>
    </row>
    <row r="157" spans="2:6" ht="12.75" customHeight="1" outlineLevel="1">
      <c r="B157" s="848" t="str">
        <f>'ITAR_K Gesamtansicht'!BK49</f>
        <v xml:space="preserve">übrige Selbstzahler
Erw. Psychi
</v>
      </c>
      <c r="C157" s="849"/>
      <c r="D157" s="538" t="e">
        <f>'ITAR_K Gesamtansicht'!BK60</f>
        <v>#DIV/0!</v>
      </c>
      <c r="E157" s="654" t="e">
        <f t="shared" si="3"/>
        <v>#DIV/0!</v>
      </c>
      <c r="F157" s="655"/>
    </row>
    <row r="158" spans="2:6" ht="12.75" customHeight="1" outlineLevel="1">
      <c r="B158" s="848" t="str">
        <f>'ITAR_K Gesamtansicht'!BM49</f>
        <v>stat. Tarif KVG
Kinder Psychi</v>
      </c>
      <c r="C158" s="849"/>
      <c r="D158" s="538" t="e">
        <f>'ITAR_K Gesamtansicht'!BM60</f>
        <v>#DIV/0!</v>
      </c>
      <c r="E158" s="654" t="e">
        <f t="shared" si="3"/>
        <v>#DIV/0!</v>
      </c>
      <c r="F158" s="655"/>
    </row>
    <row r="159" spans="2:6" ht="12.75" customHeight="1" outlineLevel="1">
      <c r="B159" s="848" t="str">
        <f>'ITAR_K Gesamtansicht'!BO49</f>
        <v>stat. Tarif ZMT
Kinder Psychi</v>
      </c>
      <c r="C159" s="849"/>
      <c r="D159" s="538" t="e">
        <f>'ITAR_K Gesamtansicht'!BO60</f>
        <v>#DIV/0!</v>
      </c>
      <c r="E159" s="654" t="e">
        <f t="shared" si="3"/>
        <v>#DIV/0!</v>
      </c>
      <c r="F159" s="655"/>
    </row>
    <row r="160" spans="2:6" ht="12.75" customHeight="1" outlineLevel="1">
      <c r="B160" s="848" t="str">
        <f>'ITAR_K Gesamtansicht'!BP49</f>
        <v xml:space="preserve">übrige Selbstzahler
Kinder Psychi
</v>
      </c>
      <c r="C160" s="849"/>
      <c r="D160" s="538" t="e">
        <f>'ITAR_K Gesamtansicht'!BP60</f>
        <v>#DIV/0!</v>
      </c>
      <c r="E160" s="654" t="e">
        <f t="shared" si="3"/>
        <v>#DIV/0!</v>
      </c>
      <c r="F160" s="655"/>
    </row>
    <row r="161" spans="2:6" s="541" customFormat="1">
      <c r="B161" s="848" t="str">
        <f>'ITAR_K Gesamtansicht'!BR49</f>
        <v>weiterer stat. Psychitarif</v>
      </c>
      <c r="C161" s="849"/>
      <c r="D161" s="538" t="e">
        <f>'ITAR_K Gesamtansicht'!BR60</f>
        <v>#DIV/0!</v>
      </c>
      <c r="E161" s="654" t="e">
        <f t="shared" si="3"/>
        <v>#DIV/0!</v>
      </c>
      <c r="F161" s="655"/>
    </row>
    <row r="162" spans="2:6" ht="12.75" customHeight="1" outlineLevel="1">
      <c r="B162" s="869" t="str">
        <f>'ITAR_K Gesamtansicht'!BS49</f>
        <v>Total 
Psychiatrie stationär</v>
      </c>
      <c r="C162" s="853"/>
      <c r="D162" s="537" t="e">
        <f>'ITAR_K Gesamtansicht'!BS60</f>
        <v>#DIV/0!</v>
      </c>
      <c r="E162" s="542" t="e">
        <f t="shared" si="3"/>
        <v>#DIV/0!</v>
      </c>
      <c r="F162" s="543"/>
    </row>
    <row r="163" spans="2:6" ht="12.75" customHeight="1" outlineLevel="1">
      <c r="B163" s="848" t="str">
        <f>'ITAR_K Gesamtansicht'!BX49</f>
        <v>Tageskliniken Psychiatrie</v>
      </c>
      <c r="C163" s="849"/>
      <c r="D163" s="538" t="e">
        <f>'ITAR_K Gesamtansicht'!BX60</f>
        <v>#DIV/0!</v>
      </c>
      <c r="E163" s="654" t="e">
        <f t="shared" si="3"/>
        <v>#DIV/0!</v>
      </c>
      <c r="F163" s="655"/>
    </row>
    <row r="164" spans="2:6" ht="12.75" customHeight="1" outlineLevel="1">
      <c r="B164" s="848" t="str">
        <f>'ITAR_K Gesamtansicht'!BY49</f>
        <v>Tagesklinik Psycho-geriatrie</v>
      </c>
      <c r="C164" s="849"/>
      <c r="D164" s="538" t="e">
        <f>'ITAR_K Gesamtansicht'!BY60</f>
        <v>#DIV/0!</v>
      </c>
      <c r="E164" s="654" t="e">
        <f t="shared" si="3"/>
        <v>#DIV/0!</v>
      </c>
      <c r="F164" s="655"/>
    </row>
    <row r="165" spans="2:6" ht="12.75" customHeight="1" outlineLevel="1">
      <c r="B165" s="848" t="str">
        <f>'ITAR_K Gesamtansicht'!BZ49</f>
        <v>Tagesklinik Alkohol-behandlung</v>
      </c>
      <c r="C165" s="849"/>
      <c r="D165" s="538" t="e">
        <f>'ITAR_K Gesamtansicht'!BZ60</f>
        <v>#DIV/0!</v>
      </c>
      <c r="E165" s="654" t="e">
        <f t="shared" si="3"/>
        <v>#DIV/0!</v>
      </c>
      <c r="F165" s="655"/>
    </row>
    <row r="166" spans="2:6" ht="12.75" customHeight="1" outlineLevel="1">
      <c r="B166" s="848" t="str">
        <f>'ITAR_K Gesamtansicht'!CA49</f>
        <v>Tagesklinik Sucht-behandlung</v>
      </c>
      <c r="C166" s="849"/>
      <c r="D166" s="538" t="e">
        <f>'ITAR_K Gesamtansicht'!CA60</f>
        <v>#DIV/0!</v>
      </c>
      <c r="E166" s="654" t="e">
        <f t="shared" si="3"/>
        <v>#DIV/0!</v>
      </c>
      <c r="F166" s="655"/>
    </row>
    <row r="167" spans="2:6" ht="12.75" customHeight="1" outlineLevel="1">
      <c r="B167" s="848" t="str">
        <f>'ITAR_K Gesamtansicht'!CB49</f>
        <v>Tagesklinik Kinder-&amp; Jugend-psychiatrie</v>
      </c>
      <c r="C167" s="849"/>
      <c r="D167" s="538" t="e">
        <f>'ITAR_K Gesamtansicht'!CB60</f>
        <v>#DIV/0!</v>
      </c>
      <c r="E167" s="654" t="e">
        <f t="shared" si="3"/>
        <v>#DIV/0!</v>
      </c>
      <c r="F167" s="655"/>
    </row>
    <row r="168" spans="2:6" ht="12.75" customHeight="1" outlineLevel="1">
      <c r="B168" s="848" t="str">
        <f>'ITAR_K Gesamtansicht'!CC49</f>
        <v>Akut-tagesklinik Psychiatrie</v>
      </c>
      <c r="C168" s="849"/>
      <c r="D168" s="538" t="e">
        <f>'ITAR_K Gesamtansicht'!CC60</f>
        <v>#DIV/0!</v>
      </c>
      <c r="E168" s="654" t="e">
        <f t="shared" si="3"/>
        <v>#DIV/0!</v>
      </c>
      <c r="F168" s="655"/>
    </row>
    <row r="169" spans="2:6" s="541" customFormat="1">
      <c r="B169" s="848" t="str">
        <f>'ITAR_K Gesamtansicht'!CD49</f>
        <v>Nachtklinik Psychiatrie</v>
      </c>
      <c r="C169" s="849"/>
      <c r="D169" s="538" t="e">
        <f>'ITAR_K Gesamtansicht'!CD60</f>
        <v>#DIV/0!</v>
      </c>
      <c r="E169" s="654" t="e">
        <f t="shared" si="3"/>
        <v>#DIV/0!</v>
      </c>
      <c r="F169" s="655"/>
    </row>
    <row r="170" spans="2:6">
      <c r="B170" s="869" t="str">
        <f>'ITAR_K Gesamtansicht'!CE49</f>
        <v>Total 
Tageskliniken Psychiatrie</v>
      </c>
      <c r="C170" s="853"/>
      <c r="D170" s="537" t="e">
        <f>'ITAR_K Gesamtansicht'!CE60</f>
        <v>#DIV/0!</v>
      </c>
      <c r="E170" s="542" t="e">
        <f t="shared" si="3"/>
        <v>#DIV/0!</v>
      </c>
      <c r="F170" s="543"/>
    </row>
    <row r="171" spans="2:6">
      <c r="B171" s="848" t="str">
        <f>'ITAR_K Gesamtansicht'!BT49</f>
        <v>geriatrische Langzeit
stationär</v>
      </c>
      <c r="C171" s="849"/>
      <c r="D171" s="538" t="e">
        <f>'ITAR_K Gesamtansicht'!BT60</f>
        <v>#DIV/0!</v>
      </c>
      <c r="E171" s="654" t="e">
        <f t="shared" si="3"/>
        <v>#DIV/0!</v>
      </c>
      <c r="F171" s="655"/>
    </row>
    <row r="172" spans="2:6">
      <c r="B172" s="848" t="str">
        <f>'ITAR_K Gesamtansicht'!BU49</f>
        <v>Palliativ
stationär</v>
      </c>
      <c r="C172" s="849"/>
      <c r="D172" s="538" t="e">
        <f>'ITAR_K Gesamtansicht'!BU60</f>
        <v>#DIV/0!</v>
      </c>
      <c r="E172" s="654" t="e">
        <f t="shared" si="3"/>
        <v>#DIV/0!</v>
      </c>
      <c r="F172" s="655"/>
    </row>
    <row r="173" spans="2:6">
      <c r="B173" s="848" t="str">
        <f>'ITAR_K Gesamtansicht'!BV49</f>
        <v>weitere (z. B. SVK Vertrag)</v>
      </c>
      <c r="C173" s="849"/>
      <c r="D173" s="538" t="e">
        <f>'ITAR_K Gesamtansicht'!BV60</f>
        <v>#DIV/0!</v>
      </c>
      <c r="E173" s="654" t="e">
        <f t="shared" si="3"/>
        <v>#DIV/0!</v>
      </c>
      <c r="F173" s="655"/>
    </row>
    <row r="174" spans="2:6">
      <c r="B174" s="848" t="str">
        <f>'ITAR_K Gesamtansicht'!CK7</f>
        <v>Tarif 
TARMED</v>
      </c>
      <c r="C174" s="849"/>
      <c r="D174" s="538" t="e">
        <f>'ITAR_K Gesamtansicht'!CK60</f>
        <v>#DIV/0!</v>
      </c>
      <c r="E174" s="654" t="e">
        <f t="shared" si="3"/>
        <v>#DIV/0!</v>
      </c>
      <c r="F174" s="655"/>
    </row>
    <row r="175" spans="2:6">
      <c r="B175" s="848" t="str">
        <f>'ITAR_K Gesamtansicht'!CL7</f>
        <v>Tarif 
Labor</v>
      </c>
      <c r="C175" s="849"/>
      <c r="D175" s="538" t="e">
        <f>'ITAR_K Gesamtansicht'!CL60</f>
        <v>#DIV/0!</v>
      </c>
      <c r="E175" s="654" t="e">
        <f t="shared" si="3"/>
        <v>#DIV/0!</v>
      </c>
      <c r="F175" s="655"/>
    </row>
    <row r="176" spans="2:6">
      <c r="B176" s="848" t="str">
        <f>'ITAR_K Gesamtansicht'!CM7</f>
        <v>Tarif 
Physio</v>
      </c>
      <c r="C176" s="849"/>
      <c r="D176" s="538" t="e">
        <f>'ITAR_K Gesamtansicht'!CM60</f>
        <v>#DIV/0!</v>
      </c>
      <c r="E176" s="654" t="e">
        <f t="shared" si="3"/>
        <v>#DIV/0!</v>
      </c>
      <c r="F176" s="655"/>
    </row>
    <row r="177" spans="2:6">
      <c r="B177" s="848" t="str">
        <f>'ITAR_K Gesamtansicht'!CN7</f>
        <v>Tarif 
Ergo-therapie</v>
      </c>
      <c r="C177" s="849"/>
      <c r="D177" s="538" t="e">
        <f>'ITAR_K Gesamtansicht'!CN60</f>
        <v>#DIV/0!</v>
      </c>
      <c r="E177" s="654" t="e">
        <f t="shared" si="3"/>
        <v>#DIV/0!</v>
      </c>
      <c r="F177" s="655"/>
    </row>
    <row r="178" spans="2:6">
      <c r="B178" s="848" t="str">
        <f>'ITAR_K Gesamtansicht'!CO7</f>
        <v>Tarif Ernähr/
Diab/Logo</v>
      </c>
      <c r="C178" s="849"/>
      <c r="D178" s="538" t="e">
        <f>'ITAR_K Gesamtansicht'!CO60</f>
        <v>#DIV/0!</v>
      </c>
      <c r="E178" s="654" t="e">
        <f t="shared" si="3"/>
        <v>#DIV/0!</v>
      </c>
      <c r="F178" s="655"/>
    </row>
    <row r="179" spans="2:6">
      <c r="B179" s="848" t="str">
        <f>'ITAR_K Gesamtansicht'!CP7</f>
        <v>Tarif 
Zahnarzt SSO</v>
      </c>
      <c r="C179" s="849"/>
      <c r="D179" s="538" t="e">
        <f>'ITAR_K Gesamtansicht'!CP60</f>
        <v>#DIV/0!</v>
      </c>
      <c r="E179" s="654" t="e">
        <f t="shared" si="3"/>
        <v>#DIV/0!</v>
      </c>
      <c r="F179" s="655"/>
    </row>
    <row r="180" spans="2:6">
      <c r="B180" s="848" t="str">
        <f>'ITAR_K Gesamtansicht'!CQ7</f>
        <v>Tarif 
Zytostatika</v>
      </c>
      <c r="C180" s="849"/>
      <c r="D180" s="538" t="e">
        <f>'ITAR_K Gesamtansicht'!CQ60</f>
        <v>#DIV/0!</v>
      </c>
      <c r="E180" s="654" t="e">
        <f t="shared" si="3"/>
        <v>#DIV/0!</v>
      </c>
      <c r="F180" s="655"/>
    </row>
    <row r="181" spans="2:6" s="327" customFormat="1" ht="24" customHeight="1">
      <c r="B181" s="848" t="str">
        <f>'ITAR_K Gesamtansicht'!CR7</f>
        <v>Tarif 
Dialyse</v>
      </c>
      <c r="C181" s="849"/>
      <c r="D181" s="538" t="e">
        <f>'ITAR_K Gesamtansicht'!CR60</f>
        <v>#DIV/0!</v>
      </c>
      <c r="E181" s="654" t="e">
        <f t="shared" si="3"/>
        <v>#DIV/0!</v>
      </c>
      <c r="F181" s="655"/>
    </row>
    <row r="182" spans="2:6" ht="25.5">
      <c r="B182" s="854" t="s">
        <v>2063</v>
      </c>
      <c r="C182" s="855"/>
      <c r="D182" s="650"/>
      <c r="E182" s="539"/>
      <c r="F182" s="540"/>
    </row>
    <row r="183" spans="2:6">
      <c r="B183" s="328" t="str">
        <f>'KTR-Ausweis Gesamtansicht'!CK10</f>
        <v>Tarif 
TARMED</v>
      </c>
      <c r="C183" s="329" t="s">
        <v>560</v>
      </c>
      <c r="D183" s="657">
        <f>IF('ITAR_K Gesamtansicht'!E78=0,0,'ITAR_K Gesamtansicht'!E78)</f>
        <v>0</v>
      </c>
      <c r="E183" s="658" t="str">
        <f>IF(D183&gt;0.96,"Ertag je TP sehr hoch, bitte prüfen",IF(D183=0,"O.K.",IF(D183&lt;0.83,"Ertrag je TP sehr tief, bitte prüfen","O.K")))</f>
        <v>O.K.</v>
      </c>
      <c r="F183" s="653"/>
    </row>
    <row r="184" spans="2:6">
      <c r="B184" s="851" t="str">
        <f>'KTR-Ausweis Gesamtansicht'!CL10</f>
        <v>Tarif 
Labor</v>
      </c>
      <c r="C184" s="331" t="s">
        <v>561</v>
      </c>
      <c r="D184" s="659">
        <f>IF('ITAR_K Gesamtansicht'!E79=0,0,'ITAR_K Gesamtansicht'!E79)</f>
        <v>0</v>
      </c>
      <c r="E184" s="660" t="str">
        <f>IF(D184&gt;1.01,"Ertag je TP sehr hoch, bitte prüfen",IF(D184=0,"O.K.",IF(D184&lt;0.98,"Ertrag je TP sehr tief, bitte prüfen","O.K")))</f>
        <v>O.K.</v>
      </c>
      <c r="F184" s="655"/>
    </row>
    <row r="185" spans="2:6">
      <c r="B185" s="848" t="str">
        <f>'KTR-Ausweis Gesamtansicht'!CM10</f>
        <v>Tarif 
Physio</v>
      </c>
      <c r="C185" s="331" t="s">
        <v>562</v>
      </c>
      <c r="D185" s="659">
        <f>IF('ITAR_K Gesamtansicht'!E80=0,0,'ITAR_K Gesamtansicht'!E80)</f>
        <v>0</v>
      </c>
      <c r="E185" s="660" t="str">
        <f>IF(D185&gt;1.01,"Ertag je TP sehr hoch, bitte prüfen",IF(D185=0,"O.K.",IF(D185&lt;0.79,"Ertrag je TP sehr tief, bitte prüfen","O.K")))</f>
        <v>O.K.</v>
      </c>
      <c r="F185" s="655"/>
    </row>
    <row r="186" spans="2:6">
      <c r="B186" s="848" t="str">
        <f>'KTR-Ausweis Gesamtansicht'!CN10</f>
        <v>Tarif 
Ergo-therapie</v>
      </c>
      <c r="C186" s="331" t="s">
        <v>563</v>
      </c>
      <c r="D186" s="659">
        <f>IF('ITAR_K Gesamtansicht'!E81=0,0,'ITAR_K Gesamtansicht'!E81)</f>
        <v>0</v>
      </c>
      <c r="E186" s="660" t="str">
        <f>IF(D186&gt;1.11,"Ertag je TP sehr hoch, bitte prüfen",IF(D186=0,"O.K.",IF(D186&lt;0.89,"Ertrag je TP sehr tief, bitte prüfen","O.K")))</f>
        <v>O.K.</v>
      </c>
      <c r="F186" s="655"/>
    </row>
    <row r="187" spans="2:6">
      <c r="B187" s="851" t="str">
        <f>'KTR-Ausweis Gesamtansicht'!CO10</f>
        <v>Tarif Ernähr/
Diab/Logo</v>
      </c>
      <c r="C187" s="331" t="s">
        <v>564</v>
      </c>
      <c r="D187" s="659">
        <f>IF('ITAR_K Gesamtansicht'!E82=0,0,'ITAR_K Gesamtansicht'!E82)</f>
        <v>0</v>
      </c>
      <c r="E187" s="660" t="str">
        <f>IF(D187&gt;1.11,"Ertag je TP sehr hoch, bitte prüfen",IF(D187=0,"O.K.",IF(D187&lt;0.89,"Ertrag je TP sehr tief, bitte prüfen","O.K")))</f>
        <v>O.K.</v>
      </c>
      <c r="F187" s="655"/>
    </row>
    <row r="188" spans="2:6">
      <c r="B188" s="851" t="str">
        <f>'KTR-Ausweis Gesamtansicht'!CP10</f>
        <v>Tarif 
Zahnarzt SSO</v>
      </c>
      <c r="C188" s="331" t="s">
        <v>565</v>
      </c>
      <c r="D188" s="659">
        <f>IF('ITAR_K Gesamtansicht'!E83=0,0,'ITAR_K Gesamtansicht'!E83)</f>
        <v>0</v>
      </c>
      <c r="E188" s="660" t="str">
        <f>IF(D188&gt;3.91,"Ertag je TP sehr hoch, bitte prüfen",IF(D188=0,"O.K.",IF(D188&lt;2.99,"Ertrag je TP sehr tief, bitte prüfen","O.K")))</f>
        <v>O.K.</v>
      </c>
      <c r="F188" s="655"/>
    </row>
    <row r="189" spans="2:6">
      <c r="B189" s="851" t="str">
        <f>'KTR-Ausweis Gesamtansicht'!CQ10</f>
        <v>Tarif 
Zytostatika</v>
      </c>
      <c r="C189" s="331" t="s">
        <v>566</v>
      </c>
      <c r="D189" s="659">
        <f>IF('ITAR_K Gesamtansicht'!E84=0,0,'ITAR_K Gesamtansicht'!E84)</f>
        <v>0</v>
      </c>
      <c r="E189" s="660" t="str">
        <f>IF(D189&gt;1.1,"Ertag je TP sehr hoch, bitte prüfen",IF(D189=0,"O.K.",IF(D189&lt;1.04,"Ertrag je TP sehr tief, bitte prüfen","O.K")))</f>
        <v>O.K.</v>
      </c>
      <c r="F189" s="655"/>
    </row>
    <row r="190" spans="2:6" s="327" customFormat="1" ht="24" customHeight="1">
      <c r="B190" s="560" t="str">
        <f>'KTR-Ausweis Gesamtansicht'!CR10</f>
        <v>Tarif 
Dialyse</v>
      </c>
      <c r="C190" s="332" t="s">
        <v>567</v>
      </c>
      <c r="D190" s="659">
        <f>IF('ITAR_K Gesamtansicht'!E85=0,0,'ITAR_K Gesamtansicht'!E85)</f>
        <v>0</v>
      </c>
      <c r="E190" s="661" t="str">
        <f>IF(D190&gt;1.02,"Ertag je TP sehr hoch, bitte prüfen",IF(D190=0,"O.K.",IF(D190&lt;0.97,"Ertrag je TP sehr tief, bitte prüfen","O.K")))</f>
        <v>O.K.</v>
      </c>
      <c r="F190" s="656"/>
    </row>
    <row r="191" spans="2:6" ht="25.5">
      <c r="B191" s="854" t="s">
        <v>2064</v>
      </c>
      <c r="C191" s="855"/>
      <c r="D191" s="650"/>
      <c r="E191" s="539"/>
      <c r="F191" s="540"/>
    </row>
    <row r="192" spans="2:6">
      <c r="B192" s="328" t="str">
        <f>'KTR-Ausweis Gesamtansicht'!CK10</f>
        <v>Tarif 
TARMED</v>
      </c>
      <c r="C192" s="329" t="s">
        <v>568</v>
      </c>
      <c r="D192" s="662">
        <f>'KTR-Ausweis Gesamtansicht'!CK80</f>
        <v>0</v>
      </c>
      <c r="E192" s="658" t="str">
        <f>IF(D192&gt;106%,"Kostendeckungsgrad sehr hoch, bitte prüfen",IF(D192=0,"O.K.",IF(D192&lt;79%,"Kostendeckungsgrad  sehr tief, bitte prüfen","O.K")))</f>
        <v>O.K.</v>
      </c>
      <c r="F192" s="653"/>
    </row>
    <row r="193" spans="2:6">
      <c r="B193" s="851" t="str">
        <f>'KTR-Ausweis Gesamtansicht'!CL10</f>
        <v>Tarif 
Labor</v>
      </c>
      <c r="C193" s="330" t="s">
        <v>569</v>
      </c>
      <c r="D193" s="663">
        <f>'KTR-Ausweis Gesamtansicht'!CL80</f>
        <v>0</v>
      </c>
      <c r="E193" s="660" t="str">
        <f>IF(D193&gt;111%,"Kostendeckungsgrad  sehr hoch, bitte prüfen",IF(D193=0,"O.K.",IF(D193&lt;99%,"Kostendeckungsgrad  sehr tief, bitte prüfen","O.K")))</f>
        <v>O.K.</v>
      </c>
      <c r="F193" s="655"/>
    </row>
    <row r="194" spans="2:6">
      <c r="B194" s="848" t="str">
        <f>'KTR-Ausweis Gesamtansicht'!CM10</f>
        <v>Tarif 
Physio</v>
      </c>
      <c r="C194" s="331" t="s">
        <v>570</v>
      </c>
      <c r="D194" s="663">
        <f>'KTR-Ausweis Gesamtansicht'!CM80</f>
        <v>0</v>
      </c>
      <c r="E194" s="660" t="str">
        <f>IF(D194&gt;111%,"Kostendeckungsgrad  sehr hoch, bitte prüfen",IF(D194=0,"O.K.",IF(D194&lt;79%,"Kostendeckungsgrad  sehr tief, bitte prüfen","O.K")))</f>
        <v>O.K.</v>
      </c>
      <c r="F194" s="655"/>
    </row>
    <row r="195" spans="2:6">
      <c r="B195" s="848" t="str">
        <f>'KTR-Ausweis Gesamtansicht'!CN10</f>
        <v>Tarif 
Ergo-therapie</v>
      </c>
      <c r="C195" s="331" t="s">
        <v>570</v>
      </c>
      <c r="D195" s="663">
        <f>'KTR-Ausweis Gesamtansicht'!CN80</f>
        <v>0</v>
      </c>
      <c r="E195" s="660" t="str">
        <f>IF(D195&gt;111%,"Kostendeckungsgrad  sehr hoch, bitte prüfen",IF(D195=0,"O.K.",IF(D195&lt;79%,"Kostendeckungsgrad  sehr tief, bitte prüfen","O.K")))</f>
        <v>O.K.</v>
      </c>
      <c r="F195" s="655"/>
    </row>
    <row r="196" spans="2:6">
      <c r="B196" s="851" t="str">
        <f>'KTR-Ausweis Gesamtansicht'!CO10</f>
        <v>Tarif Ernähr/
Diab/Logo</v>
      </c>
      <c r="C196" s="331" t="s">
        <v>571</v>
      </c>
      <c r="D196" s="663">
        <f>'KTR-Ausweis Gesamtansicht'!CO80</f>
        <v>0</v>
      </c>
      <c r="E196" s="660" t="str">
        <f>IF(D196&gt;80%,"Kostendeckungsgrad  sehr hoch, bitte prüfen",IF(D196=0,"O.K.",IF(D196&lt;29%,"Kostendeckungsgrad  sehr tief, bitte prüfen","O.K")))</f>
        <v>O.K.</v>
      </c>
      <c r="F196" s="655"/>
    </row>
    <row r="197" spans="2:6">
      <c r="B197" s="851" t="str">
        <f>'KTR-Ausweis Gesamtansicht'!CP10</f>
        <v>Tarif 
Zahnarzt SSO</v>
      </c>
      <c r="C197" s="331" t="s">
        <v>570</v>
      </c>
      <c r="D197" s="663">
        <f>'KTR-Ausweis Gesamtansicht'!CP80</f>
        <v>0</v>
      </c>
      <c r="E197" s="660" t="str">
        <f>IF(D197&gt;111%,"Kostendeckungsgrad  sehr hoch, bitte prüfen",IF(D197=0,"O.K.",IF(D197&lt;79%,"Kostendeckungsgrad  sehr tief, bitte prüfen","O.K")))</f>
        <v>O.K.</v>
      </c>
      <c r="F197" s="655"/>
    </row>
    <row r="198" spans="2:6">
      <c r="B198" s="851" t="str">
        <f>'KTR-Ausweis Gesamtansicht'!CQ10</f>
        <v>Tarif 
Zytostatika</v>
      </c>
      <c r="C198" s="331" t="s">
        <v>570</v>
      </c>
      <c r="D198" s="663">
        <f>'KTR-Ausweis Gesamtansicht'!CQ80</f>
        <v>0</v>
      </c>
      <c r="E198" s="660" t="str">
        <f>IF(D198&gt;111%,"Kostendeckungsgrad  sehr hoch, bitte prüfen",IF(D198=0,"O.K.",IF(D198&lt;79%,"Kostendeckungsgrad  sehr tief, bitte prüfen","O.K")))</f>
        <v>O.K.</v>
      </c>
      <c r="F198" s="655"/>
    </row>
    <row r="199" spans="2:6">
      <c r="B199" s="851" t="str">
        <f>'KTR-Ausweis Gesamtansicht'!CR10</f>
        <v>Tarif 
Dialyse</v>
      </c>
      <c r="C199" s="331" t="s">
        <v>572</v>
      </c>
      <c r="D199" s="663">
        <f>'KTR-Ausweis Gesamtansicht'!CR80</f>
        <v>0</v>
      </c>
      <c r="E199" s="660" t="str">
        <f>IF(D199&gt;121%,"Kostendeckungsgrad  sehr hoch, bitte prüfen",IF(D199=0,"O.K.",IF(D199&lt;79%,"Kostendeckungsgrad  sehr tief, bitte prüfen","O.K")))</f>
        <v>O.K.</v>
      </c>
      <c r="F199" s="655"/>
    </row>
    <row r="200" spans="2:6">
      <c r="B200" s="851" t="str">
        <f>'KTR-Ausweis Gesamtansicht'!CS10</f>
        <v>Weitere, betriebsindiv. amb. Tarife</v>
      </c>
      <c r="C200" s="331" t="s">
        <v>570</v>
      </c>
      <c r="D200" s="663">
        <f>'KTR-Ausweis Gesamtansicht'!CS80</f>
        <v>0</v>
      </c>
      <c r="E200" s="660" t="str">
        <f>IF(D200&gt;111%,"Kostendeckungsgrad  sehr hoch, bitte prüfen",IF(D200=0,"O.K.",IF(D200&lt;79%,"Kostendeckungsgrad  sehr tief, bitte prüfen","O.K")))</f>
        <v>O.K.</v>
      </c>
      <c r="F200" s="655"/>
    </row>
    <row r="201" spans="2:6">
      <c r="B201" s="851" t="str">
        <f>'KTR-Ausweis Gesamtansicht'!CT10</f>
        <v>Material, Medikamente, Blut</v>
      </c>
      <c r="C201" s="331" t="s">
        <v>570</v>
      </c>
      <c r="D201" s="663">
        <f>'KTR-Ausweis Gesamtansicht'!CT80</f>
        <v>0</v>
      </c>
      <c r="E201" s="660" t="str">
        <f>IF(D201&gt;111%,"Kostendeckungsgrad  sehr hoch, bitte prüfen",IF(D201=0,"O.K.",IF(D201&lt;79%,"Kostendeckungsgrad  sehr tief, bitte prüfen","O.K")))</f>
        <v>O.K.</v>
      </c>
      <c r="F201" s="655"/>
    </row>
    <row r="202" spans="2:6" s="327" customFormat="1" ht="29.25" customHeight="1">
      <c r="B202" s="560" t="str">
        <f>'KTR-Ausweis Gesamtansicht'!CU10</f>
        <v>Fremdleistungen</v>
      </c>
      <c r="C202" s="332" t="s">
        <v>570</v>
      </c>
      <c r="D202" s="664">
        <f>'KTR-Ausweis Gesamtansicht'!CU80</f>
        <v>0</v>
      </c>
      <c r="E202" s="661" t="str">
        <f>IF(D202&gt;111%,"Kostendeckungsgrad  sehr hoch, bitte prüfen",IF(D202=0,"O.K.",IF(D202&lt;79%,"Kostendeckungsgrad  sehr tief, bitte prüfen","O.K")))</f>
        <v>O.K.</v>
      </c>
      <c r="F202" s="656"/>
    </row>
    <row r="203" spans="2:6" ht="25.5">
      <c r="B203" s="334" t="s">
        <v>2065</v>
      </c>
      <c r="C203" s="336" t="s">
        <v>465</v>
      </c>
      <c r="D203" s="337" t="s">
        <v>466</v>
      </c>
      <c r="E203" s="338" t="s">
        <v>468</v>
      </c>
      <c r="F203" s="540" t="s">
        <v>467</v>
      </c>
    </row>
    <row r="204" spans="2:6">
      <c r="B204" s="851" t="str">
        <f>'KTR-Ausweis Gesamtansicht'!I10</f>
        <v>rein stat. KVG Fälle
akut</v>
      </c>
      <c r="C204" s="339">
        <f>Zusatzentgelt!H82</f>
        <v>0</v>
      </c>
      <c r="D204" s="339">
        <f>'KTR-Ausweis Gesamtansicht'!I51</f>
        <v>0</v>
      </c>
      <c r="E204" s="665">
        <f t="shared" ref="E204:E211" si="4">C204-D204</f>
        <v>0</v>
      </c>
      <c r="F204" s="666" t="str">
        <f t="shared" ref="F204:F211" si="5">IF(E204&gt;0,"O.K.","Bitte prüfen und begründen")</f>
        <v>Bitte prüfen und begründen</v>
      </c>
    </row>
    <row r="205" spans="2:6">
      <c r="B205" s="848" t="str">
        <f>'KTR-Ausweis Gesamtansicht'!J10</f>
        <v>stat. Tarif KVG ZV 
akut</v>
      </c>
      <c r="C205" s="339">
        <f>Zusatzentgelt!J82</f>
        <v>0</v>
      </c>
      <c r="D205" s="340">
        <f>'KTR-Ausweis Gesamtansicht'!J51</f>
        <v>0</v>
      </c>
      <c r="E205" s="665">
        <f t="shared" si="4"/>
        <v>0</v>
      </c>
      <c r="F205" s="666" t="str">
        <f t="shared" si="5"/>
        <v>Bitte prüfen und begründen</v>
      </c>
    </row>
    <row r="206" spans="2:6">
      <c r="B206" s="851" t="str">
        <f>'KTR-Ausweis Gesamtansicht'!L10</f>
        <v>stat. 
Tarif ZMT 
akut</v>
      </c>
      <c r="C206" s="339">
        <f>Zusatzentgelt!L82</f>
        <v>0</v>
      </c>
      <c r="D206" s="339">
        <f>'KTR-Ausweis Gesamtansicht'!L51</f>
        <v>0</v>
      </c>
      <c r="E206" s="665">
        <f t="shared" si="4"/>
        <v>0</v>
      </c>
      <c r="F206" s="666" t="str">
        <f t="shared" si="5"/>
        <v>Bitte prüfen und begründen</v>
      </c>
    </row>
    <row r="207" spans="2:6">
      <c r="B207" s="848" t="str">
        <f>'KTR-Ausweis Gesamtansicht'!M10</f>
        <v>stat. Tarif ZMT ZV 
akut</v>
      </c>
      <c r="C207" s="339">
        <f>Zusatzentgelt!N82</f>
        <v>0</v>
      </c>
      <c r="D207" s="340">
        <f>'KTR-Ausweis Gesamtansicht'!M51</f>
        <v>0</v>
      </c>
      <c r="E207" s="665">
        <f t="shared" si="4"/>
        <v>0</v>
      </c>
      <c r="F207" s="666" t="str">
        <f t="shared" si="5"/>
        <v>Bitte prüfen und begründen</v>
      </c>
    </row>
    <row r="208" spans="2:6">
      <c r="B208" s="848" t="str">
        <f>'KTR-Ausweis Gesamtansicht'!O10</f>
        <v>übrige Selbstzahler 
akut</v>
      </c>
      <c r="C208" s="340">
        <f>Zusatzentgelt!P82</f>
        <v>0</v>
      </c>
      <c r="D208" s="340">
        <f>'KTR-Ausweis Gesamtansicht'!O51</f>
        <v>0</v>
      </c>
      <c r="E208" s="665">
        <f t="shared" si="4"/>
        <v>0</v>
      </c>
      <c r="F208" s="666" t="str">
        <f t="shared" si="5"/>
        <v>Bitte prüfen und begründen</v>
      </c>
    </row>
    <row r="209" spans="2:6">
      <c r="B209" s="848" t="str">
        <f>'KTR-Ausweis Gesamtansicht'!P10</f>
        <v xml:space="preserve">weiterer Tarif reine stat. </v>
      </c>
      <c r="C209" s="339">
        <f>Zusatzentgelt!R82</f>
        <v>0</v>
      </c>
      <c r="D209" s="340">
        <f>'KTR-Ausweis Gesamtansicht'!P51</f>
        <v>0</v>
      </c>
      <c r="E209" s="665">
        <f t="shared" si="4"/>
        <v>0</v>
      </c>
      <c r="F209" s="666" t="str">
        <f>IF(E209&gt;0,"O.K.","Bitte prüfen und begründen")</f>
        <v>Bitte prüfen und begründen</v>
      </c>
    </row>
    <row r="210" spans="2:6">
      <c r="B210" s="848" t="str">
        <f>'KTR-Ausweis Gesamtansicht'!Q10</f>
        <v>weiterer Tarif stat. ZV</v>
      </c>
      <c r="C210" s="340">
        <f>Zusatzentgelt!T82</f>
        <v>0</v>
      </c>
      <c r="D210" s="340">
        <f>'KTR-Ausweis Gesamtansicht'!Q51</f>
        <v>0</v>
      </c>
      <c r="E210" s="665">
        <f t="shared" si="4"/>
        <v>0</v>
      </c>
      <c r="F210" s="666" t="str">
        <f>IF(E210&gt;0,"O.K.","Bitte prüfen und begründen")</f>
        <v>Bitte prüfen und begründen</v>
      </c>
    </row>
    <row r="211" spans="2:6">
      <c r="B211" s="335" t="str">
        <f>'KTR-Ausweis Gesamtansicht'!R10</f>
        <v>Total 
stationär, SwissDRG relevant</v>
      </c>
      <c r="C211" s="341">
        <f>Zusatzentgelt!V82</f>
        <v>0</v>
      </c>
      <c r="D211" s="342">
        <f>'KTR-Ausweis Gesamtansicht'!R51</f>
        <v>0</v>
      </c>
      <c r="E211" s="665">
        <f t="shared" si="4"/>
        <v>0</v>
      </c>
      <c r="F211" s="667" t="str">
        <f t="shared" si="5"/>
        <v>Bitte prüfen und begründen</v>
      </c>
    </row>
  </sheetData>
  <sheetProtection password="8B2B" sheet="1" objects="1" scenarios="1" formatCells="0" formatColumns="0" formatRows="0"/>
  <mergeCells count="42">
    <mergeCell ref="E51:F51"/>
    <mergeCell ref="E52:F52"/>
    <mergeCell ref="E53:F53"/>
    <mergeCell ref="E36:F36"/>
    <mergeCell ref="E37:F37"/>
    <mergeCell ref="E38:F38"/>
    <mergeCell ref="E45:F45"/>
    <mergeCell ref="E46:F46"/>
    <mergeCell ref="E47:F47"/>
    <mergeCell ref="E48:F48"/>
    <mergeCell ref="E50:F50"/>
    <mergeCell ref="E41:F41"/>
    <mergeCell ref="E42:F42"/>
    <mergeCell ref="E43:F43"/>
    <mergeCell ref="E44:F44"/>
    <mergeCell ref="E33:F33"/>
    <mergeCell ref="E34:F34"/>
    <mergeCell ref="E35:F35"/>
    <mergeCell ref="E39:F39"/>
    <mergeCell ref="E40:F40"/>
    <mergeCell ref="B16:B19"/>
    <mergeCell ref="E14:F14"/>
    <mergeCell ref="E21:F21"/>
    <mergeCell ref="E15:F15"/>
    <mergeCell ref="C1:D1"/>
    <mergeCell ref="E22:F22"/>
    <mergeCell ref="E24:F24"/>
    <mergeCell ref="E25:F25"/>
    <mergeCell ref="B24:B25"/>
    <mergeCell ref="E27:F27"/>
    <mergeCell ref="E28:F28"/>
    <mergeCell ref="E29:F29"/>
    <mergeCell ref="E30:F30"/>
    <mergeCell ref="E31:F31"/>
    <mergeCell ref="E32:F32"/>
    <mergeCell ref="E59:F59"/>
    <mergeCell ref="E129:F129"/>
    <mergeCell ref="E54:F54"/>
    <mergeCell ref="E55:F55"/>
    <mergeCell ref="E56:F56"/>
    <mergeCell ref="E57:F57"/>
    <mergeCell ref="E58:F58"/>
  </mergeCells>
  <pageMargins left="0.35" right="0.25" top="0.51" bottom="0.48" header="0.33" footer="0.31496062992125984"/>
  <pageSetup paperSize="8" scale="52" fitToHeight="0" orientation="portrait" r:id="rId1"/>
  <rowBreaks count="1" manualBreakCount="1">
    <brk id="1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6</vt:i4>
      </vt:variant>
    </vt:vector>
  </HeadingPairs>
  <LinksUpToDate>false</LinksUpToDate>
  <SharedDoc>false</SharedDoc>
  <HyperlinksChanged>false</HyperlinksChanged>
</Properties>
</file>